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SRC_Index!$F$5:$F$1395</definedName>
    <definedName function="false" hidden="false" name="IDX_SrcGrade" vbProcedure="false">SRC_Index!$E$5:$E$1395</definedName>
    <definedName function="false" hidden="false" name="IDX_SrcID" vbProcedure="false">SRC_Index!$A$5:$A$1395</definedName>
    <definedName function="false" hidden="false" name="IDX_SrcStat" vbProcedure="false">SRC_Index!$D$5:$D$1395</definedName>
    <definedName function="false" hidden="false" name="IFC_Conf" vbProcedure="false">Interface!$R$6:$R$310</definedName>
    <definedName function="false" hidden="false" name="IFC_Layer" vbProcedure="false">Interface!$T$6:$T$310</definedName>
    <definedName function="false" hidden="false" name="IFC_Updated" vbProcedure="false">Interface!$U$6:$U$310</definedName>
    <definedName function="false" hidden="false" name="IFC_Use" vbProcedure="false">Interface!$S$6:$S$310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B_Days" vbProcedure="false">Load_Bearing!$N$5:$N$54</definedName>
    <definedName function="false" hidden="false" name="LB_LiveCount" vbProcedure="false">Load_Bearing!$J$56</definedName>
    <definedName function="false" hidden="false" name="LB_Rows" vbProcedure="false">Load_Bearing!$A$5:$A$54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<sst xmlns="http://schemas.openxmlformats.org/spreadsheetml/2006/main" count="30872" uniqueCount="8023">
  <si>
    <r>
      <rPr>
        <b val="true"/>
        <sz val="13"/>
        <rFont val="Arial"/>
        <family val="0"/>
        <charset val="1"/>
      </rPr>
      <t xml:space="preserve">Tokenomics v5.29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</si>
  <si>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</si>
  <si>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</si>
  <si>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</si>
  <si>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</si>
  <si>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20261008_Tokenomics_v5.29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8.4 → 12.6 $B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</si>
  <si>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</si>
  <si>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</si>
  <si>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</si>
  <si>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</si>
  <si>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</si>
  <si>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</si>
  <si>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</si>
  <si>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</si>
  <si>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</si>
  <si>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</si>
  <si>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</si>
  <si>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</si>
  <si>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</si>
  <si>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</si>
  <si>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</si>
  <si>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</si>
  <si>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</si>
  <si>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</si>
  <si>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</si>
  <si>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</si>
  <si>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</si>
  <si>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</si>
  <si>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</si>
  <si>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</si>
  <si>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</si>
  <si>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</si>
  <si>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</si>
  <si>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</si>
  <si>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</si>
  <si>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</si>
  <si>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</si>
  <si>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</si>
  <si>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</si>
  <si>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</si>
  <si>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</si>
  <si>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</si>
  <si>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</si>
  <si>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</si>
  <si>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</si>
  <si>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</si>
  <si>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</si>
  <si>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</si>
  <si>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</si>
  <si>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</si>
  <si>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</si>
  <si>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</si>
  <si>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</si>
  <si>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</si>
  <si>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</si>
  <si>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</si>
  <si>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</si>
  <si>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</si>
  <si>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</si>
  <si>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：同一指標四層並列（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節直取；</t>
    </r>
    <r>
      <rPr>
        <sz val="10"/>
        <color rgb="FF000000"/>
        <rFont val="Arial"/>
        <family val="0"/>
        <charset val="1"/>
      </rPr>
      <t xml:space="preserve">Util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節或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Life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節；無對應者為「—」或 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</si>
  <si>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</si>
  <si>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</si>
  <si>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</si>
  <si>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</si>
  <si>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</si>
  <si>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</si>
  <si>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</si>
  <si>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</si>
  <si>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</si>
  <si>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</si>
  <si>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</si>
  <si>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</si>
  <si>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</si>
  <si>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</si>
  <si>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</si>
  <si>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</si>
  <si>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</si>
  <si>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</si>
  <si>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</si>
  <si>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</si>
  <si>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</si>
  <si>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</si>
  <si>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</si>
  <si>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</si>
  <si>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</si>
  <si>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</si>
  <si>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</si>
  <si>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</si>
  <si>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</si>
  <si>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</si>
  <si>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</si>
  <si>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</si>
  <si>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</si>
  <si>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</si>
  <si>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</si>
  <si>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</si>
  <si>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</si>
  <si>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</si>
  <si>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</si>
  <si>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</si>
  <si>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</si>
  <si>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</si>
  <si>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</si>
  <si>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</si>
  <si>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</si>
  <si>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</si>
  <si>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</si>
  <si>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</si>
  <si>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</si>
  <si>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</si>
  <si>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</si>
  <si>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</si>
  <si>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</si>
  <si>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</si>
  <si>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</si>
  <si>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</si>
  <si>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</si>
  <si>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</si>
  <si>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</si>
  <si>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</si>
  <si>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</si>
  <si>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</si>
  <si>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</si>
  <si>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</si>
  <si>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</si>
  <si>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</si>
  <si>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</si>
  <si>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</si>
  <si>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</si>
  <si>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</si>
  <si>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</si>
  <si>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</si>
  <si>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</si>
  <si>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</si>
  <si>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</si>
  <si>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</si>
  <si>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</si>
  <si>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</si>
  <si>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</si>
  <si>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</si>
  <si>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</si>
  <si>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</si>
  <si>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</si>
  <si>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</si>
  <si>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</si>
  <si>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</si>
  <si>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</si>
  <si>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</si>
  <si>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</si>
  <si>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</si>
  <si>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</si>
  <si>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</si>
  <si>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</si>
  <si>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</si>
  <si>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</si>
  <si>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</si>
  <si>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</si>
  <si>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</si>
  <si>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</si>
  <si>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</si>
  <si>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</si>
  <si>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</si>
  <si>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</si>
  <si>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</si>
  <si>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</si>
  <si>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</si>
  <si>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</si>
  <si>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</si>
  <si>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</si>
  <si>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</si>
  <si>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</si>
  <si>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</si>
  <si>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</si>
  <si>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</si>
  <si>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</si>
  <si>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</si>
  <si>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</si>
  <si>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</si>
  <si>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</si>
  <si>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</si>
  <si>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</si>
  <si>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</si>
  <si>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</si>
  <si>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</si>
  <si>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</si>
  <si>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</si>
  <si>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</si>
  <si>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</si>
  <si>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</si>
  <si>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</si>
  <si>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</si>
  <si>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</si>
  <si>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</si>
  <si>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</si>
  <si>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</si>
  <si>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</si>
  <si>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</si>
  <si>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</si>
  <si>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</si>
  <si>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</si>
  <si>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</si>
  <si>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</si>
  <si>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</si>
  <si>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</si>
  <si>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</si>
  <si>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</si>
  <si>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</si>
  <si>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</si>
  <si>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</si>
  <si>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</si>
  <si>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</si>
  <si>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</si>
  <si>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</si>
  <si>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</si>
  <si>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</si>
  <si>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</si>
  <si>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</si>
  <si>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</si>
  <si>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</si>
  <si>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</si>
  <si>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</si>
  <si>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</si>
  <si>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</si>
  <si>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</si>
  <si>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</si>
  <si>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</si>
  <si>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</si>
  <si>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</si>
  <si>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</si>
  <si>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</si>
  <si>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</si>
  <si>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</si>
  <si>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</si>
  <si>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</si>
  <si>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</si>
  <si>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</si>
  <si>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</si>
  <si>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</si>
  <si>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</si>
  <si>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</si>
  <si>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</si>
  <si>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</si>
  <si>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</si>
  <si>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</si>
  <si>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</si>
  <si>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</si>
  <si>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</si>
  <si>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</si>
  <si>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</si>
  <si>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</si>
  <si>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</si>
  <si>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</si>
  <si>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</si>
  <si>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</si>
  <si>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</si>
  <si>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</si>
  <si>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</si>
  <si>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</si>
  <si>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</si>
  <si>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</si>
  <si>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</si>
  <si>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</si>
  <si>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</si>
  <si>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</si>
  <si>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</si>
  <si>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</si>
  <si>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</si>
  <si>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</si>
  <si>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</si>
  <si>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</si>
  <si>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</si>
  <si>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</si>
  <si>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</si>
  <si>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</si>
  <si>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</si>
  <si>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</si>
  <si>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</si>
  <si>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</si>
  <si>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</si>
  <si>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</si>
  <si>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</si>
  <si>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</si>
  <si>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</si>
  <si>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</si>
  <si>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</si>
  <si>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</si>
  <si>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</si>
  <si>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</si>
  <si>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</si>
  <si>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</si>
  <si>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</si>
  <si>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</si>
  <si>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</si>
  <si>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</si>
  <si>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</si>
  <si>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</si>
  <si>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</si>
  <si>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</si>
  <si>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</si>
  <si>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</si>
  <si>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</si>
  <si>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</si>
  <si>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</si>
  <si>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</si>
  <si>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</si>
  <si>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</si>
  <si>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</si>
  <si>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</si>
  <si>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</si>
  <si>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</si>
  <si>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</si>
  <si>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</si>
  <si>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</si>
  <si>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</si>
  <si>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</si>
  <si>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</si>
  <si>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</si>
  <si>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</si>
  <si>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</si>
  <si>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</si>
  <si>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</si>
  <si>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</si>
  <si>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</si>
  <si>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</si>
  <si>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</si>
  <si>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</si>
  <si>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</si>
  <si>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</si>
  <si>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</si>
  <si>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</si>
  <si>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</si>
  <si>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</si>
  <si>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</si>
  <si>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</si>
  <si>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</si>
  <si>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</si>
  <si>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</si>
  <si>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</si>
  <si>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</si>
  <si>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</si>
  <si>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</si>
  <si>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</si>
  <si>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</si>
  <si>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</si>
  <si>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</si>
  <si>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</si>
  <si>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</si>
  <si>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</si>
  <si>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</si>
  <si>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</si>
  <si>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</si>
  <si>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</si>
  <si>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</si>
  <si>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</si>
  <si>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</si>
  <si>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</si>
  <si>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</si>
  <si>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</si>
  <si>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</si>
  <si>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</si>
  <si>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</si>
  <si>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</si>
  <si>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</si>
  <si>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</si>
  <si>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</si>
  <si>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</si>
  <si>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</si>
  <si>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</si>
  <si>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</si>
  <si>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</si>
  <si>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</si>
  <si>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</si>
  <si>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</si>
  <si>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</si>
  <si>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</si>
  <si>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</si>
  <si>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</si>
  <si>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</si>
  <si>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</si>
  <si>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</si>
  <si>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</si>
  <si>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</si>
  <si>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</si>
  <si>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</si>
  <si>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</si>
  <si>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</si>
  <si>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</si>
  <si>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</si>
  <si>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</si>
  <si>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</si>
  <si>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</si>
  <si>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</si>
  <si>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</si>
  <si>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</si>
  <si>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</si>
  <si>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</si>
  <si>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</si>
  <si>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</si>
  <si>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</si>
  <si>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</si>
  <si>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</si>
  <si>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</si>
  <si>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</si>
  <si>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</si>
  <si>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</si>
  <si>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</si>
  <si>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</si>
  <si>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</si>
  <si>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</si>
  <si>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</si>
  <si>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</si>
  <si>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</si>
  <si>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</si>
  <si>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</si>
  <si>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</si>
  <si>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</si>
  <si>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</si>
  <si>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</si>
  <si>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</si>
  <si>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</si>
  <si>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</si>
  <si>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</si>
  <si>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</si>
  <si>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</si>
  <si>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</si>
  <si>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</si>
  <si>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</si>
  <si>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</si>
  <si>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</si>
  <si>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</si>
  <si>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</si>
  <si>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</si>
  <si>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</si>
  <si>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</si>
  <si>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</si>
  <si>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</si>
  <si>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</si>
  <si>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</si>
  <si>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</si>
  <si>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</si>
  <si>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</si>
  <si>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</si>
  <si>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</si>
  <si>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</si>
  <si>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</si>
  <si>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</si>
  <si>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</si>
  <si>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</si>
  <si>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</si>
  <si>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</si>
  <si>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</si>
  <si>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</si>
  <si>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</si>
  <si>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</si>
  <si>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</si>
  <si>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</si>
  <si>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</si>
  <si>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</si>
  <si>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</si>
  <si>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</si>
  <si>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</si>
  <si>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</si>
  <si>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</si>
  <si>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</si>
  <si>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</si>
  <si>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</si>
  <si>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</si>
  <si>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</si>
  <si>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</si>
  <si>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</si>
  <si>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</si>
  <si>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</si>
  <si>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</si>
  <si>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</si>
  <si>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</si>
  <si>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</si>
  <si>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</si>
  <si>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</si>
  <si>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</si>
  <si>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</si>
  <si>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</si>
  <si>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</si>
  <si>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</si>
  <si>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</si>
  <si>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</si>
  <si>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</si>
  <si>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</si>
  <si>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</si>
  <si>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</si>
  <si>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</si>
  <si>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</si>
  <si>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</si>
  <si>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</si>
  <si>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</si>
  <si>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</si>
  <si>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</si>
  <si>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</si>
  <si>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</si>
  <si>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</si>
  <si>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</si>
  <si>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</si>
  <si>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</si>
  <si>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</si>
  <si>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</si>
  <si>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</si>
  <si>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</si>
  <si>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</si>
  <si>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</si>
  <si>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</si>
  <si>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</si>
  <si>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</si>
  <si>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</si>
  <si>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</si>
  <si>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</si>
  <si>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</si>
  <si>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</si>
  <si>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</si>
  <si>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</si>
  <si>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</si>
  <si>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</si>
  <si>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</si>
  <si>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</si>
  <si>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</si>
  <si>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</si>
  <si>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</si>
  <si>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</si>
  <si>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</si>
  <si>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</si>
  <si>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</si>
  <si>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</si>
  <si>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</si>
  <si>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</si>
  <si>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</si>
  <si>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</si>
  <si>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</si>
  <si>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</si>
  <si>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</si>
  <si>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</si>
  <si>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</si>
  <si>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</si>
  <si>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</si>
  <si>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</si>
  <si>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</si>
  <si>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</si>
  <si>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</si>
  <si>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</si>
  <si>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</si>
  <si>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</si>
  <si>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</si>
  <si>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</si>
  <si>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</si>
  <si>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</si>
  <si>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</si>
  <si>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</si>
  <si>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</si>
  <si>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</si>
  <si>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</si>
  <si>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</si>
  <si>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</si>
  <si>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</si>
  <si>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</si>
  <si>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</si>
  <si>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</si>
  <si>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</si>
  <si>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</si>
  <si>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</si>
  <si>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</si>
  <si>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</si>
  <si>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</si>
  <si>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</si>
  <si>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</si>
  <si>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</si>
  <si>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</si>
  <si>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</si>
  <si>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</si>
  <si>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</si>
  <si>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</si>
  <si>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</si>
  <si>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</si>
  <si>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</si>
  <si>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</si>
  <si>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</si>
  <si>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</si>
  <si>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</si>
  <si>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</si>
  <si>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</si>
  <si>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</si>
  <si>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</si>
  <si>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</si>
  <si>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</si>
  <si>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</si>
  <si>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</si>
  <si>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</si>
  <si>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</si>
  <si>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</si>
  <si>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</si>
  <si>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</si>
  <si>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</si>
  <si>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</si>
  <si>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</si>
  <si>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</si>
  <si>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</si>
  <si>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</si>
  <si>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</si>
  <si>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</si>
  <si>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</si>
  <si>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</si>
  <si>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</si>
  <si>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</si>
  <si>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</si>
  <si>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</si>
  <si>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</si>
  <si>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</si>
  <si>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</si>
  <si>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</si>
  <si>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</si>
  <si>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</si>
  <si>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</si>
  <si>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</si>
  <si>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</si>
  <si>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</si>
  <si>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</si>
  <si>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</si>
  <si>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</si>
  <si>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</si>
  <si>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</si>
  <si>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</si>
  <si>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</si>
  <si>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</si>
  <si>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</si>
  <si>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</si>
  <si>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</si>
  <si>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</si>
  <si>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</si>
  <si>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</si>
  <si>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</si>
  <si>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</si>
  <si>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</si>
  <si>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</si>
  <si>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</si>
  <si>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</si>
  <si>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</si>
  <si>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</si>
  <si>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</si>
  <si>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</si>
  <si>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</si>
  <si>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</si>
  <si>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</si>
  <si>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</si>
  <si>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</si>
  <si>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</si>
  <si>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</si>
  <si>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</si>
  <si>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</si>
  <si>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</si>
  <si>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</si>
  <si>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</si>
  <si>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</si>
  <si>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</si>
  <si>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</si>
  <si>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</si>
  <si>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</si>
  <si>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</si>
  <si>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</si>
  <si>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</si>
  <si>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</si>
  <si>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</si>
  <si>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</si>
  <si>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</si>
  <si>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</si>
  <si>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</si>
  <si>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</si>
  <si>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</si>
  <si>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</si>
  <si>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</si>
  <si>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</si>
  <si>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</si>
  <si>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</si>
  <si>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</si>
  <si>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</si>
  <si>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</si>
  <si>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</si>
  <si>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</si>
  <si>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</si>
  <si>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</si>
  <si>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</si>
  <si>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</si>
  <si>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</si>
  <si>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</si>
  <si>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</si>
  <si>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</si>
  <si>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</si>
  <si>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</si>
  <si>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</si>
  <si>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</si>
  <si>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</si>
  <si>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</si>
  <si>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</si>
  <si>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</si>
  <si>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</si>
  <si>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</si>
  <si>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</si>
  <si>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</si>
  <si>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</si>
  <si>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</si>
  <si>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</si>
  <si>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</si>
  <si>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</si>
  <si>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</si>
  <si>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</si>
  <si>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</si>
  <si>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</si>
  <si>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</si>
  <si>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</si>
  <si>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</si>
  <si>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</si>
  <si>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</si>
  <si>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</si>
  <si>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</si>
  <si>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</si>
  <si>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</si>
  <si>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</si>
  <si>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</si>
  <si>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</si>
  <si>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</si>
  <si>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</si>
  <si>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</si>
  <si>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</si>
  <si>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</si>
  <si>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</si>
  <si>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</si>
  <si>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</si>
  <si>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</si>
  <si>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</si>
  <si>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</si>
  <si>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</si>
  <si>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</si>
  <si>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</si>
  <si>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</si>
  <si>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</si>
  <si>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</si>
  <si>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</si>
  <si>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</si>
  <si>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</si>
  <si>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</si>
  <si>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</si>
  <si>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</si>
  <si>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</si>
  <si>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</si>
  <si>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</si>
  <si>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</si>
  <si>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</si>
  <si>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</si>
  <si>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</si>
  <si>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</si>
  <si>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</si>
  <si>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</si>
  <si>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</si>
  <si>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</si>
  <si>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</si>
  <si>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</si>
  <si>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</si>
  <si>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</si>
  <si>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</si>
  <si>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</si>
  <si>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</si>
  <si>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</si>
  <si>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</si>
  <si>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</si>
  <si>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</si>
  <si>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</si>
  <si>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</si>
  <si>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</si>
  <si>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</si>
  <si>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</si>
  <si>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</si>
  <si>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</si>
  <si>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</si>
  <si>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</si>
  <si>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</si>
  <si>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</si>
  <si>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</si>
  <si>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</si>
  <si>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</si>
  <si>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</si>
  <si>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</si>
  <si>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</si>
  <si>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</si>
  <si>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</si>
  <si>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</si>
  <si>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</si>
  <si>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</si>
  <si>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</si>
  <si>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</si>
  <si>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</si>
  <si>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</si>
  <si>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</si>
  <si>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</si>
  <si>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</si>
  <si>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</si>
  <si>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</si>
  <si>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</si>
  <si>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</si>
  <si>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</si>
  <si>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</si>
  <si>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</si>
  <si>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</si>
  <si>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</si>
  <si>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</si>
  <si>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</si>
  <si>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</si>
  <si>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</si>
  <si>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</si>
  <si>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</si>
  <si>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</si>
  <si>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</si>
  <si>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</si>
  <si>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</si>
  <si>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</si>
  <si>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</si>
  <si>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</si>
  <si>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</si>
  <si>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</si>
  <si>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</si>
  <si>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</si>
  <si>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</si>
  <si>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</si>
  <si>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</si>
  <si>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</si>
  <si>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</si>
  <si>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</si>
  <si>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</si>
  <si>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</si>
  <si>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</si>
  <si>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</si>
  <si>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</si>
  <si>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</si>
  <si>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</si>
  <si>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</si>
  <si>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</si>
  <si>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</si>
  <si>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</si>
  <si>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</si>
  <si>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</si>
  <si>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</si>
  <si>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</si>
  <si>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</si>
  <si>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</si>
  <si>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</si>
  <si>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</si>
  <si>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</si>
  <si>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</si>
  <si>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</si>
  <si>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</si>
  <si>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</si>
  <si>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</si>
  <si>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</si>
  <si>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</si>
  <si>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</si>
  <si>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</si>
  <si>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</si>
  <si>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</si>
  <si>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</si>
  <si>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</si>
  <si>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</si>
  <si>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</si>
  <si>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</si>
  <si>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</si>
  <si>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</si>
  <si>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</si>
  <si>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</si>
  <si>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</si>
  <si>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</si>
  <si>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</si>
  <si>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</si>
  <si>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</si>
  <si>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</si>
  <si>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</si>
  <si>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</si>
  <si>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</si>
  <si>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</si>
  <si>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</si>
  <si>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</si>
  <si>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</si>
  <si>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</si>
  <si>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</si>
  <si>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</si>
  <si>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</si>
  <si>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</si>
  <si>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</si>
  <si>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</si>
  <si>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</si>
  <si>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</si>
  <si>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</si>
  <si>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</si>
  <si>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</si>
  <si>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</si>
  <si>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</si>
  <si>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</si>
  <si>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</si>
  <si>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</si>
  <si>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</si>
  <si>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</si>
  <si>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</si>
  <si>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</si>
  <si>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</si>
  <si>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</si>
  <si>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</si>
  <si>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</si>
  <si>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</si>
  <si>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</si>
  <si>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</si>
  <si>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</si>
  <si>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</si>
  <si>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</si>
  <si>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</si>
  <si>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</si>
  <si>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</si>
  <si>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</si>
  <si>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</si>
  <si>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</si>
  <si>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</si>
  <si>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</si>
  <si>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</si>
  <si>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</si>
  <si>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</si>
  <si>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</si>
  <si>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</si>
  <si>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</si>
  <si>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</si>
  <si>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</si>
  <si>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</si>
  <si>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</si>
  <si>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</si>
  <si>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</si>
  <si>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</si>
  <si>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</si>
  <si>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</si>
  <si>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</si>
  <si>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</si>
  <si>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</si>
  <si>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</si>
  <si>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</si>
  <si>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</si>
  <si>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</si>
  <si>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</si>
  <si>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</si>
  <si>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</si>
  <si>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</si>
  <si>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</si>
  <si>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</si>
  <si>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</si>
  <si>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</si>
  <si>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</si>
  <si>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</si>
  <si>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</si>
  <si>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</si>
  <si>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</si>
  <si>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</si>
  <si>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</si>
  <si>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</si>
  <si>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</si>
  <si>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</si>
  <si>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</si>
  <si>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</si>
  <si>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</si>
  <si>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</si>
  <si>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</si>
  <si>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</si>
  <si>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</si>
  <si>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</si>
  <si>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</si>
  <si>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</si>
  <si>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</si>
  <si>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</si>
  <si>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</si>
  <si>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</si>
  <si>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</si>
  <si>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</si>
  <si>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</si>
  <si>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</si>
  <si>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</si>
  <si>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</si>
  <si>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</si>
  <si>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</si>
  <si>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</si>
  <si>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</si>
  <si>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</si>
  <si>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</si>
  <si>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</si>
  <si>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</si>
  <si>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</si>
  <si>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</si>
  <si>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</si>
  <si>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</si>
  <si>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</si>
  <si>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</si>
  <si>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</si>
  <si>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</si>
  <si>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</si>
  <si>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</si>
  <si>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</si>
  <si>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</si>
  <si>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</si>
  <si>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</si>
  <si>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</si>
  <si>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</si>
  <si>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</si>
  <si>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</si>
  <si>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</si>
  <si>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</si>
  <si>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</si>
  <si>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</si>
  <si>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</si>
  <si>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</si>
  <si>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</si>
  <si>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</si>
  <si>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</si>
  <si>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</si>
  <si>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</si>
  <si>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</si>
  <si>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</si>
  <si>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</si>
  <si>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</si>
  <si>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</si>
  <si>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</si>
  <si>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</si>
  <si>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</si>
  <si>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</si>
  <si>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</si>
  <si>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</si>
  <si>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</si>
  <si>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</si>
  <si>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</si>
  <si>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</si>
  <si>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</si>
  <si>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</si>
  <si>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</si>
  <si>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</si>
  <si>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</si>
  <si>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</si>
  <si>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</si>
  <si>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</si>
  <si>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</si>
  <si>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</si>
  <si>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</si>
  <si>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</si>
  <si>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</si>
  <si>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</si>
  <si>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</si>
  <si>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</si>
  <si>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</si>
  <si>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</si>
  <si>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</si>
  <si>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</si>
  <si>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</si>
  <si>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</si>
  <si>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</si>
  <si>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</si>
  <si>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</si>
  <si>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</si>
  <si>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</si>
  <si>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</si>
  <si>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</si>
  <si>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</si>
  <si>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</si>
  <si>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</si>
  <si>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</si>
  <si>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</si>
  <si>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</si>
  <si>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</si>
  <si>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</si>
  <si>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</si>
  <si>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</si>
  <si>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</si>
  <si>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</si>
  <si>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</si>
  <si>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</si>
  <si>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</si>
  <si>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</si>
  <si>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</si>
  <si>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</si>
  <si>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</si>
  <si>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</si>
  <si>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</si>
  <si>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</si>
  <si>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</si>
  <si>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</si>
  <si>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</si>
  <si>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</si>
  <si>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</si>
  <si>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</si>
  <si>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</si>
  <si>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</si>
  <si>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</si>
  <si>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</si>
  <si>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</si>
  <si>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</si>
  <si>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</si>
  <si>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</si>
  <si>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</si>
  <si>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</si>
  <si>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</si>
  <si>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</si>
  <si>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</si>
  <si>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</si>
  <si>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</si>
  <si>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</si>
  <si>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</si>
  <si>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</si>
  <si>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</si>
  <si>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</si>
  <si>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</si>
  <si>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</si>
  <si>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</si>
  <si>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</si>
  <si>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</si>
  <si>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</si>
  <si>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</si>
  <si>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</si>
  <si>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</si>
  <si>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</si>
  <si>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</si>
  <si>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</si>
  <si>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</si>
  <si>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</si>
  <si>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</si>
  <si>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</si>
  <si>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</si>
  <si>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</si>
  <si>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</si>
  <si>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</si>
  <si>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</si>
  <si>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</si>
  <si>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</si>
  <si>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</si>
  <si>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</si>
  <si>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</si>
  <si>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</si>
  <si>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</si>
  <si>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</si>
  <si>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</si>
  <si>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</si>
  <si>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</si>
  <si>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</si>
  <si>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</si>
  <si>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</si>
  <si>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</si>
  <si>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</si>
  <si>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</si>
  <si>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</si>
  <si>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</si>
  <si>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</si>
  <si>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</si>
  <si>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</si>
  <si>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</si>
  <si>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</si>
  <si>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</si>
  <si>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</si>
  <si>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</si>
  <si>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</si>
  <si>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</si>
  <si>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</si>
  <si>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</si>
  <si>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</si>
  <si>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</si>
  <si>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</si>
  <si>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</si>
  <si>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</si>
  <si>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</si>
  <si>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</si>
  <si>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</si>
  <si>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</si>
  <si>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</si>
  <si>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</si>
  <si>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</si>
  <si>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</si>
  <si>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</si>
  <si>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</si>
  <si>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</si>
  <si>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</si>
  <si>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</si>
  <si>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</si>
  <si>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</si>
  <si>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</si>
  <si>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</si>
  <si>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</si>
  <si>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</si>
  <si>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</si>
  <si>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</si>
  <si>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</si>
  <si>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</si>
  <si>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</si>
  <si>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</si>
  <si>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</si>
  <si>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</si>
  <si>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</si>
  <si>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</si>
  <si>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</si>
  <si>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</si>
  <si>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</si>
  <si>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</si>
  <si>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</si>
  <si>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</si>
  <si>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</si>
  <si>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</si>
  <si>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</si>
  <si>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</si>
  <si>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</si>
  <si>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</si>
  <si>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</si>
  <si>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</si>
  <si>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</si>
  <si>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</si>
  <si>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</si>
  <si>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</si>
  <si>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</si>
  <si>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</si>
  <si>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</si>
  <si>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</si>
  <si>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</si>
  <si>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</si>
  <si>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</si>
  <si>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</si>
  <si>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</si>
  <si>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</si>
  <si>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</si>
  <si>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</si>
  <si>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</si>
  <si>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</si>
  <si>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</si>
  <si>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</si>
  <si>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</si>
  <si>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</si>
  <si>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</si>
  <si>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</si>
  <si>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</si>
  <si>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</si>
  <si>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</si>
  <si>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</si>
  <si>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</si>
  <si>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</si>
  <si>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</si>
  <si>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</si>
  <si>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</si>
  <si>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</si>
  <si>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</si>
  <si>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</si>
  <si>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</si>
  <si>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</si>
  <si>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</si>
  <si>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</si>
  <si>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</si>
  <si>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</si>
  <si>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</si>
  <si>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</si>
  <si>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</si>
  <si>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</si>
  <si>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</si>
  <si>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</si>
  <si>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</si>
  <si>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</si>
  <si>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</si>
  <si>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</si>
  <si>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</si>
  <si>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</si>
  <si>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</si>
  <si>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</si>
  <si>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</si>
  <si>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</si>
  <si>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</si>
  <si>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</si>
  <si>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</si>
  <si>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</si>
  <si>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</si>
  <si>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</si>
  <si>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</si>
  <si>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</si>
  <si>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</si>
  <si>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</si>
  <si>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</si>
  <si>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</si>
  <si>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</si>
  <si>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</si>
  <si>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</si>
  <si>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</si>
  <si>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</si>
  <si>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</si>
  <si>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</si>
  <si>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</si>
  <si>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</si>
  <si>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</si>
  <si>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</si>
  <si>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</si>
  <si>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</si>
  <si>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</si>
  <si>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</si>
  <si>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</si>
  <si>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</si>
  <si>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</si>
  <si>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</si>
  <si>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</si>
  <si>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</si>
  <si>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</si>
  <si>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</si>
  <si>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</si>
  <si>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</si>
  <si>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</si>
  <si>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</si>
  <si>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</si>
  <si>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</si>
  <si>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</si>
  <si>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</si>
  <si>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</si>
  <si>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</si>
  <si>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</si>
  <si>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</si>
  <si>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</si>
  <si>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</si>
  <si>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</si>
  <si>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</si>
  <si>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</si>
  <si>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</si>
  <si>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</si>
  <si>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</si>
  <si>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</si>
  <si>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</si>
  <si>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</si>
  <si>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</si>
  <si>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</si>
  <si>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</si>
  <si>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</si>
  <si>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</si>
  <si>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</si>
  <si>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</si>
  <si>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</si>
  <si>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</si>
  <si>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</si>
  <si>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</si>
  <si>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</si>
  <si>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</si>
  <si>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</si>
  <si>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</si>
  <si>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</si>
  <si>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</si>
  <si>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</si>
  <si>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</si>
  <si>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</si>
  <si>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</si>
  <si>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</si>
  <si>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</si>
  <si>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</si>
  <si>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</si>
  <si>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</si>
  <si>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</si>
  <si>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</si>
  <si>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</si>
  <si>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</si>
  <si>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</si>
  <si>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</si>
  <si>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</si>
  <si>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</si>
  <si>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</si>
  <si>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</si>
  <si>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</si>
  <si>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</si>
  <si>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</si>
  <si>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</si>
  <si>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</si>
  <si>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</si>
  <si>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</si>
  <si>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</si>
  <si>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</si>
  <si>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</si>
  <si>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</si>
  <si>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</si>
  <si>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</si>
  <si>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</si>
  <si>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</si>
  <si>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</si>
  <si>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</si>
  <si>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</si>
  <si>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</si>
  <si>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</si>
  <si>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</si>
  <si>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</si>
  <si>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</si>
  <si>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</si>
  <si>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</si>
  <si>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</si>
  <si>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</si>
  <si>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</si>
  <si>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</si>
  <si>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</si>
  <si>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</si>
  <si>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</si>
  <si>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</si>
  <si>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</si>
  <si>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</si>
  <si>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</si>
  <si>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</si>
  <si>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</si>
  <si>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</si>
  <si>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</si>
  <si>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</si>
  <si>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</si>
  <si>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</si>
  <si>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</si>
  <si>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</si>
  <si>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</si>
  <si>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</si>
  <si>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</si>
  <si>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</si>
  <si>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</si>
  <si>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</si>
  <si>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</si>
  <si>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</si>
  <si>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</si>
  <si>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</si>
  <si>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</si>
  <si>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</si>
  <si>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</si>
  <si>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</si>
  <si>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</si>
  <si>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</si>
  <si>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</si>
  <si>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</si>
  <si>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</si>
  <si>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</si>
  <si>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</si>
  <si>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</si>
  <si>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</si>
  <si>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</si>
  <si>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</si>
  <si>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</si>
  <si>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</si>
  <si>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</si>
  <si>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</si>
  <si>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</si>
  <si>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</si>
  <si>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</si>
  <si>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</si>
  <si>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</si>
  <si>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</si>
  <si>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</si>
  <si>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</si>
  <si>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</si>
  <si>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</si>
  <si>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</si>
  <si>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</si>
  <si>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</si>
  <si>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</si>
  <si>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</si>
  <si>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</si>
  <si>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</si>
  <si>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</si>
  <si>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</si>
  <si>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</si>
  <si>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</si>
  <si>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</si>
  <si>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</si>
  <si>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</si>
  <si>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</si>
  <si>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</si>
  <si>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</si>
  <si>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</si>
  <si>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</si>
  <si>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</si>
  <si>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</si>
  <si>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</si>
  <si>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</si>
  <si>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</si>
  <si>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</si>
  <si>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</si>
  <si>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</si>
  <si>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</si>
  <si>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</si>
  <si>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</si>
  <si>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</si>
  <si>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</si>
  <si>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</si>
  <si>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</si>
  <si>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</si>
  <si>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</si>
  <si>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</si>
  <si>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</si>
  <si>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</si>
  <si>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</si>
  <si>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</si>
  <si>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</si>
  <si>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</si>
  <si>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</si>
  <si>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</si>
  <si>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</si>
  <si>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</si>
  <si>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</si>
  <si>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</si>
  <si>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</si>
  <si>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</si>
  <si>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</si>
  <si>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</si>
  <si>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</si>
  <si>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</si>
  <si>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</si>
  <si>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</si>
  <si>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</si>
  <si>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</si>
  <si>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</si>
  <si>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</si>
  <si>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</si>
  <si>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</si>
  <si>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</si>
  <si>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</si>
  <si>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</si>
  <si>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</si>
  <si>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</si>
  <si>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</si>
  <si>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</si>
  <si>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</si>
  <si>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</si>
  <si>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</si>
  <si>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</si>
  <si>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</si>
  <si>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</si>
  <si>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</si>
  <si>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</si>
  <si>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</si>
  <si>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</si>
  <si>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</si>
  <si>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</si>
  <si>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</si>
  <si>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</si>
  <si>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</si>
  <si>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</si>
  <si>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</si>
  <si>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</si>
  <si>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</si>
  <si>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</si>
  <si>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</si>
  <si>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</si>
  <si>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</si>
  <si>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</si>
  <si>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</si>
  <si>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</si>
  <si>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</si>
  <si>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</si>
  <si>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</si>
  <si>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</si>
  <si>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</si>
  <si>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</si>
  <si>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</si>
  <si>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</si>
  <si>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</si>
  <si>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</si>
  <si>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</si>
  <si>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</si>
  <si>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</si>
  <si>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</si>
  <si>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</si>
  <si>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</si>
  <si>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</si>
  <si>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</si>
  <si>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</si>
  <si>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</si>
  <si>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</si>
  <si>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</si>
  <si>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</si>
  <si>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</si>
  <si>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</si>
  <si>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</si>
  <si>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</si>
  <si>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</si>
  <si>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</si>
  <si>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</si>
  <si>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</si>
  <si>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</si>
  <si>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</si>
  <si>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</si>
  <si>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</si>
  <si>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</si>
  <si>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</si>
  <si>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</si>
  <si>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</si>
  <si>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</si>
  <si>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</si>
  <si>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</si>
  <si>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</si>
  <si>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</si>
  <si>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</si>
  <si>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</si>
  <si>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</si>
  <si>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</si>
  <si>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</si>
  <si>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</si>
  <si>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</si>
  <si>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</si>
  <si>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</si>
  <si>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</si>
  <si>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</si>
  <si>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</si>
  <si>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</si>
  <si>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</si>
  <si>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</si>
  <si>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</si>
  <si>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</si>
  <si>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</si>
  <si>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</si>
  <si>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</si>
  <si>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</si>
  <si>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</si>
  <si>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</si>
  <si>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</si>
  <si>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</si>
  <si>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</si>
  <si>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</si>
  <si>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</si>
  <si>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</si>
  <si>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</si>
  <si>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</si>
  <si>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</si>
  <si>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</si>
  <si>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</si>
  <si>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</si>
  <si>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</si>
  <si>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</si>
  <si>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</si>
  <si>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</si>
  <si>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</si>
  <si>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</si>
  <si>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</si>
  <si>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</si>
  <si>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</si>
  <si>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</si>
  <si>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</si>
  <si>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</si>
  <si>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</si>
  <si>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</si>
  <si>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</si>
  <si>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</si>
  <si>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</si>
  <si>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</si>
  <si>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</si>
  <si>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</si>
  <si>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</si>
  <si>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</si>
  <si>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</si>
  <si>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</si>
  <si>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</si>
  <si>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</si>
  <si>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</si>
  <si>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</si>
  <si>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</si>
  <si>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</si>
  <si>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</si>
  <si>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</si>
  <si>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</si>
  <si>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</si>
  <si>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</si>
  <si>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</si>
  <si>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</si>
  <si>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</si>
  <si>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</si>
  <si>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</si>
  <si>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</si>
  <si>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</si>
  <si>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</si>
  <si>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</si>
  <si>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</si>
  <si>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</si>
  <si>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</si>
  <si>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</si>
  <si>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</si>
  <si>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</si>
  <si>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</si>
  <si>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</si>
  <si>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</si>
  <si>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</si>
  <si>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</si>
  <si>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</si>
  <si>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</si>
  <si>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</si>
  <si>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</si>
  <si>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</si>
  <si>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</si>
  <si>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</si>
  <si>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</si>
  <si>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</si>
  <si>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</si>
  <si>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</si>
  <si>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</si>
  <si>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</si>
  <si>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</si>
  <si>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</si>
  <si>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</si>
  <si>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</si>
  <si>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</si>
  <si>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</si>
  <si>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</si>
  <si>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</si>
  <si>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</si>
  <si>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</si>
  <si>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</si>
  <si>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</si>
  <si>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</si>
  <si>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</si>
  <si>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</si>
  <si>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</si>
  <si>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</si>
  <si>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</si>
  <si>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</si>
  <si>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</si>
  <si>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</si>
  <si>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</si>
  <si>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</si>
  <si>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</si>
  <si>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</si>
  <si>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</si>
  <si>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</si>
  <si>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</si>
  <si>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</si>
  <si>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</si>
  <si>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</si>
  <si>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</si>
  <si>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</si>
  <si>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</si>
  <si>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</si>
  <si>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</si>
  <si>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</si>
  <si>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</si>
  <si>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</si>
  <si>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</si>
  <si>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</si>
  <si>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</si>
  <si>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</si>
  <si>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：支出路線的推論支出為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計價（含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利潤與資本回收），對持有成本口徑的倍數無公開數字；已搜尋未找到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實付單價</t>
    </r>
  </si>
  <si>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</si>
  <si>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X14 (m)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E262</t>
    </r>
    <r>
      <rPr>
        <sz val="9"/>
        <color rgb="FF595959"/>
        <rFont val="Noto Sans CJK SC"/>
        <family val="2"/>
      </rPr>
      <t xml:space="preserve">：實際利用率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生產折減低於模型的 </t>
    </r>
    <r>
      <rPr>
        <sz val="9"/>
        <color rgb="FF595959"/>
        <rFont val="Arial"/>
        <family val="0"/>
        <charset val="1"/>
      </rPr>
      <t xml:space="preserve">IF_Util × 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 × 0.85</t>
    </r>
    <r>
      <rPr>
        <sz val="9"/>
        <color rgb="FF595959"/>
        <rFont val="Noto Sans CJK SC"/>
        <family val="2"/>
      </rPr>
      <t xml:space="preserve">）；無直接證據，</t>
    </r>
    <r>
      <rPr>
        <sz val="9"/>
        <color rgb="FF595959"/>
        <rFont val="Arial"/>
        <family val="0"/>
        <charset val="1"/>
      </rPr>
      <t xml:space="preserve">Serving C17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</si>
  <si>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</si>
  <si>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</si>
  <si>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</si>
  <si>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</si>
  <si>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</si>
  <si>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</si>
  <si>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</si>
  <si>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</si>
  <si>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</si>
  <si>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</si>
  <si>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</si>
  <si>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</si>
  <si>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</si>
  <si>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</si>
  <si>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</si>
  <si>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</si>
  <si>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</si>
  <si>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</si>
  <si>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</si>
  <si>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</si>
  <si>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</si>
  <si>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</si>
  <si>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</si>
  <si>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</si>
  <si>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</si>
  <si>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</si>
  <si>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</si>
  <si>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</si>
  <si>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</si>
  <si>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</si>
  <si>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</si>
  <si>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</si>
  <si>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</si>
  <si>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</si>
  <si>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</si>
  <si>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</si>
  <si>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</si>
  <si>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</si>
  <si>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</si>
  <si>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</si>
  <si>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</si>
  <si>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</si>
  <si>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</si>
  <si>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</si>
  <si>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</si>
  <si>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</si>
  <si>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</si>
  <si>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</si>
  <si>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</si>
  <si>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</si>
  <si>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</si>
  <si>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</si>
  <si>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</si>
  <si>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</si>
  <si>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</si>
  <si>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</si>
  <si>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</si>
  <si>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</si>
  <si>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</si>
  <si>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</si>
  <si>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</si>
  <si>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</si>
  <si>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</si>
  <si>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</si>
  <si>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</si>
  <si>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</si>
  <si>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</si>
  <si>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</si>
  <si>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</si>
  <si>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</si>
  <si>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：推論支出改連 </t>
    </r>
    <r>
      <rPr>
        <sz val="9"/>
        <color rgb="FF595959"/>
        <rFont val="Arial"/>
        <family val="0"/>
        <charset val="1"/>
      </rPr>
      <t xml:space="preserve">SRC_DEM_018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48.8%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前為 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</si>
  <si>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</si>
  <si>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</si>
  <si>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</si>
  <si>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</si>
  <si>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</si>
  <si>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</si>
  <si>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</si>
  <si>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</si>
  <si>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SRC_DEM_018</t>
    </r>
  </si>
  <si>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：分母改連 </t>
    </r>
    <r>
      <rPr>
        <sz val="9"/>
        <color rgb="FF595959"/>
        <rFont val="Arial"/>
        <family val="0"/>
        <charset val="1"/>
      </rPr>
      <t xml:space="preserve">SRC_DEM_018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 </t>
    </r>
    <r>
      <rPr>
        <sz val="9"/>
        <color rgb="FF595959"/>
        <rFont val="Arial"/>
        <family val="0"/>
        <charset val="1"/>
      </rPr>
      <t xml:space="preserve">12.6</t>
    </r>
    <r>
      <rPr>
        <sz val="9"/>
        <color rgb="FF595959"/>
        <rFont val="Noto Sans CJK SC"/>
        <family val="2"/>
      </rPr>
      <t xml:space="preserve">）；分子 </t>
    </r>
    <r>
      <rPr>
        <sz val="9"/>
        <color rgb="FF595959"/>
        <rFont val="Arial"/>
        <family val="0"/>
        <charset val="1"/>
      </rPr>
      <t xml:space="preserve">SRC_DEM_005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json </t>
    </r>
    <r>
      <rPr>
        <sz val="9"/>
        <color rgb="FF595959"/>
        <rFont val="Noto Sans CJK SC"/>
        <family val="2"/>
      </rPr>
      <t xml:space="preserve">口徑）未變，兩者口徑是否一致待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</si>
  <si>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</si>
  <si>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</si>
  <si>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</si>
  <si>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</si>
  <si>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</si>
  <si>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</si>
  <si>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</si>
  <si>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</si>
  <si>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</si>
  <si>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</si>
  <si>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</si>
  <si>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</si>
  <si>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</si>
  <si>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</si>
  <si>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</si>
  <si>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</si>
  <si>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</si>
  <si>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</si>
  <si>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</si>
  <si>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</si>
  <si>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</si>
  <si>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</si>
  <si>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</si>
  <si>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</si>
  <si>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</si>
  <si>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</si>
  <si>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</si>
  <si>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</si>
  <si>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</si>
  <si>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</si>
  <si>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</si>
  <si>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</si>
  <si>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</si>
  <si>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</si>
  <si>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</si>
  <si>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</si>
  <si>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</si>
  <si>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</si>
  <si>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</si>
  <si>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</si>
  <si>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</si>
  <si>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</si>
  <si>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</si>
  <si>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</si>
  <si>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</si>
  <si>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</si>
  <si>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</si>
  <si>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</si>
  <si>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</si>
  <si>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</si>
  <si>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</si>
  <si>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</si>
  <si>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</si>
  <si>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</si>
  <si>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</si>
  <si>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</si>
  <si>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</si>
  <si>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</si>
  <si>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</si>
  <si>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</si>
  <si>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</si>
  <si>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</si>
  <si>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</si>
  <si>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</si>
  <si>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</si>
  <si>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</si>
  <si>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</si>
  <si>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</si>
  <si>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</si>
  <si>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</si>
  <si>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</si>
  <si>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</si>
  <si>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</si>
  <si>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</si>
  <si>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</si>
  <si>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</si>
  <si>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</si>
  <si>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</si>
  <si>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</si>
  <si>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</si>
  <si>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</si>
  <si>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</si>
  <si>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</si>
  <si>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</si>
  <si>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</si>
  <si>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</si>
  <si>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</si>
  <si>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</si>
  <si>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</si>
  <si>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</si>
  <si>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</si>
  <si>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</si>
  <si>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</si>
  <si>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</si>
  <si>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</si>
  <si>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</si>
  <si>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</si>
  <si>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</si>
  <si>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</si>
  <si>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</si>
  <si>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</si>
  <si>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</si>
  <si>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</si>
  <si>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</si>
  <si>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</si>
  <si>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</si>
  <si>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</si>
  <si>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</si>
  <si>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</si>
  <si>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</si>
  <si>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</si>
  <si>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</si>
  <si>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</si>
  <si>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</si>
  <si>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</si>
  <si>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</si>
  <si>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</si>
  <si>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</si>
  <si>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</si>
  <si>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</si>
  <si>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</si>
  <si>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</si>
  <si>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</si>
  <si>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</si>
  <si>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</si>
  <si>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</si>
  <si>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</si>
  <si>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</si>
  <si>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</si>
  <si>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</si>
  <si>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</si>
  <si>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</si>
  <si>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</si>
  <si>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</si>
  <si>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</si>
  <si>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</si>
  <si>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</si>
  <si>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</si>
  <si>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</si>
  <si>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</si>
  <si>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</si>
  <si>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248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</si>
  <si>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</si>
  <si>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245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</si>
  <si>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</si>
  <si>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</si>
  <si>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</si>
  <si>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</si>
  <si>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</si>
  <si>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</si>
  <si>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</si>
  <si>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</si>
  <si>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</si>
  <si>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</si>
  <si>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</si>
  <si>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</si>
  <si>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</si>
  <si>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</si>
  <si>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</si>
  <si>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</si>
  <si>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</si>
  <si>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</si>
  <si>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</si>
  <si>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</si>
  <si>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</si>
  <si>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</si>
  <si>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</si>
  <si>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</si>
  <si>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</si>
  <si>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</si>
  <si>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</si>
  <si>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</si>
  <si>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</si>
  <si>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</si>
  <si>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</si>
  <si>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</si>
  <si>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</si>
  <si>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</si>
  <si>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</si>
  <si>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</si>
  <si>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</si>
  <si>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</si>
  <si>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</si>
  <si>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</si>
  <si>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</si>
  <si>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</si>
  <si>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</si>
  <si>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</si>
  <si>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</si>
  <si>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</si>
  <si>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</si>
  <si>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</si>
  <si>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</si>
  <si>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</si>
  <si>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</si>
  <si>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</si>
  <si>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</si>
  <si>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</si>
  <si>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</si>
  <si>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</si>
  <si>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</si>
  <si>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</si>
  <si>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</si>
  <si>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</si>
  <si>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</si>
  <si>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</si>
  <si>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</si>
  <si>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</si>
  <si>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</si>
  <si>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</si>
  <si>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</si>
  <si>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</si>
  <si>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</si>
  <si>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</si>
  <si>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</si>
  <si>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</si>
  <si>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</si>
  <si>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</si>
  <si>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</si>
  <si>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</si>
  <si>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</si>
  <si>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</si>
  <si>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</si>
  <si>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</si>
  <si>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</si>
  <si>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</si>
  <si>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</si>
  <si>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</si>
  <si>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</si>
  <si>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</si>
  <si>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</si>
  <si>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</si>
  <si>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</si>
  <si>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</si>
  <si>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</si>
  <si>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</si>
  <si>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</si>
  <si>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</si>
  <si>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</si>
  <si>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</si>
  <si>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</si>
  <si>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</si>
  <si>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</si>
  <si>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</si>
  <si>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</si>
  <si>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</si>
  <si>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</si>
  <si>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</si>
  <si>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</si>
  <si>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</si>
  <si>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</si>
  <si>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</si>
  <si>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</si>
  <si>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</si>
  <si>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</si>
  <si>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</si>
  <si>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</si>
  <si>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</si>
  <si>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</si>
  <si>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</si>
  <si>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</si>
  <si>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</si>
  <si>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</si>
  <si>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</si>
  <si>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</si>
  <si>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</si>
  <si>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</si>
  <si>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</si>
  <si>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</si>
  <si>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</si>
  <si>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</si>
  <si>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</si>
  <si>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</si>
  <si>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</si>
  <si>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</si>
  <si>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</si>
  <si>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</si>
  <si>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</si>
  <si>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</si>
  <si>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</si>
  <si>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</si>
  <si>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</si>
  <si>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</si>
  <si>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</si>
  <si>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</si>
  <si>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</si>
  <si>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</si>
  <si>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</si>
  <si>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</si>
  <si>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</si>
  <si>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</si>
  <si>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</si>
  <si>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</si>
  <si>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</si>
  <si>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</si>
  <si>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</si>
  <si>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</si>
  <si>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</si>
  <si>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</si>
  <si>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</si>
  <si>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</si>
  <si>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</si>
  <si>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</si>
  <si>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</si>
  <si>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</si>
  <si>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</si>
  <si>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</si>
  <si>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</si>
  <si>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</si>
  <si>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</si>
  <si>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</si>
  <si>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</si>
  <si>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</si>
  <si>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</si>
  <si>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</si>
  <si>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</si>
  <si>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</si>
  <si>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</si>
  <si>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</si>
  <si>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</si>
  <si>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</si>
  <si>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</si>
  <si>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</si>
  <si>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</si>
  <si>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</si>
  <si>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</si>
  <si>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</si>
  <si>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</si>
  <si>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</si>
  <si>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</si>
  <si>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</si>
  <si>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</si>
  <si>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</si>
  <si>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</si>
  <si>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</si>
  <si>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</si>
  <si>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</si>
  <si>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</si>
  <si>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</si>
  <si>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</si>
  <si>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</si>
  <si>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</si>
  <si>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</si>
  <si>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</si>
  <si>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</si>
  <si>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</si>
  <si>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</si>
  <si>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</si>
  <si>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</si>
  <si>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</si>
  <si>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</si>
  <si>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</si>
  <si>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</si>
  <si>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</si>
  <si>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</si>
  <si>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</si>
  <si>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</si>
  <si>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</si>
  <si>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</si>
  <si>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</si>
  <si>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</si>
  <si>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</si>
  <si>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</si>
  <si>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</si>
  <si>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</si>
  <si>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</si>
  <si>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</si>
  <si>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</si>
  <si>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</si>
  <si>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</si>
  <si>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</si>
  <si>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</si>
  <si>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</si>
  <si>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</si>
  <si>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</si>
  <si>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</si>
  <si>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</si>
  <si>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</si>
  <si>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</si>
  <si>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</si>
  <si>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</si>
  <si>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</si>
  <si>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</si>
  <si>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）：同一指標的 </t>
    </r>
    <r>
      <rPr>
        <b val="true"/>
        <sz val="10"/>
        <rFont val="Arial"/>
        <family val="0"/>
        <charset val="1"/>
      </rPr>
      <t xml:space="preserve">100% → × IF_Util → × CTL_ProdDerate → × L × m </t>
    </r>
    <r>
      <rPr>
        <b val="true"/>
        <sz val="10"/>
        <rFont val="Noto Sans CJK SC"/>
        <family val="2"/>
      </rPr>
      <t xml:space="preserve">四層；全部引用既有列（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），供下游一次取齊；無對應列者為「—」或 </t>
    </r>
    <r>
      <rPr>
        <b val="true"/>
        <sz val="10"/>
        <rFont val="Arial"/>
        <family val="0"/>
        <charset val="1"/>
      </rPr>
      <t xml:space="preserve">Prod × 1</t>
    </r>
    <r>
      <rPr>
        <b val="true"/>
        <sz val="10"/>
        <rFont val="Noto Sans CJK SC"/>
        <family val="2"/>
      </rPr>
      <t xml:space="preserve">（附註）；自我檢查見本節末與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</si>
  <si>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</si>
  <si>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</si>
  <si>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</si>
  <si>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</si>
  <si>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</si>
  <si>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</si>
  <si>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</si>
  <si>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</si>
  <si>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</si>
  <si>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</si>
  <si>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</si>
  <si>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</si>
  <si>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</si>
  <si>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</si>
  <si>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</si>
  <si>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</si>
  <si>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</si>
  <si>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</si>
  <si>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</si>
  <si>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</si>
  <si>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</si>
  <si>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</si>
  <si>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</si>
  <si>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</si>
  <si>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</si>
  <si>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</si>
  <si>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</si>
  <si>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</si>
  <si>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</si>
  <si>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</si>
  <si>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</si>
  <si>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</si>
  <si>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</si>
  <si>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</si>
  <si>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</si>
  <si>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節無對應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</si>
  <si>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</si>
  <si>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</si>
  <si>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</si>
  <si>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</si>
  <si>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同列：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鏈）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</si>
  <si>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</si>
  <si>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</si>
  <si>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</si>
  <si>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</si>
  <si>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同列：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鏈）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</si>
  <si>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</si>
  <si>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</si>
  <si>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</si>
  <si>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同列：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鏈）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</si>
  <si>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</si>
  <si>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 </t>
    </r>
    <r>
      <rPr>
        <b val="true"/>
        <sz val="10"/>
        <rFont val="Noto Sans CJK SC"/>
        <family val="2"/>
      </rPr>
      <t xml:space="preserve">列 − 來源列（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節／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節／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節／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節／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</si>
  <si>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</si>
  <si>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IFW_RevGW_Luna_Prod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</si>
  <si>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</si>
  <si>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</si>
  <si>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IFW_RevGW_Sol_Prod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</si>
  <si>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</si>
  <si>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</si>
  <si>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IFW_RevGW_Astra_Prod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</si>
  <si>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</si>
  <si>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</si>
  <si>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</si>
  <si>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</si>
  <si>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</si>
  <si>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</si>
  <si>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</si>
  <si>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</si>
  <si>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</si>
  <si>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IFW_TokGW_Luna_Prod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</si>
  <si>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</si>
  <si>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IFW_TokGW_Sol_Prod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</si>
  <si>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</si>
  <si>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IFW_TokGW_Astra_Prod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</si>
  <si>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</si>
  <si>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</si>
  <si>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</si>
  <si>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</si>
  <si>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</si>
  <si>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</si>
  <si>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</si>
  <si>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</si>
  <si>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</si>
  <si>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</si>
  <si>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</si>
  <si>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</si>
  <si>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</si>
  <si>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</si>
  <si>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</si>
  <si>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</si>
  <si>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</si>
  <si>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</si>
  <si>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</si>
  <si>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</si>
  <si>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</si>
  <si>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</si>
  <si>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</si>
  <si>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</si>
  <si>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</si>
  <si>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</si>
  <si>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</si>
  <si>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</si>
  <si>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</si>
  <si>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</si>
  <si>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</si>
  <si>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</si>
  <si>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</si>
  <si>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</si>
  <si>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</si>
  <si>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</si>
  <si>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</si>
  <si>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</si>
  <si>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</si>
  <si>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</si>
  <si>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</si>
  <si>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</si>
  <si>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</si>
  <si>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</si>
  <si>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</si>
  <si>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</si>
  <si>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</si>
  <si>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</si>
  <si>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</si>
  <si>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</si>
  <si>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</si>
  <si>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</si>
  <si>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</si>
  <si>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</si>
  <si>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</si>
  <si>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</si>
  <si>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</si>
  <si>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</si>
  <si>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</si>
  <si>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</si>
  <si>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</si>
  <si>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</si>
  <si>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</si>
  <si>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</si>
  <si>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</si>
  <si>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</si>
  <si>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</si>
  <si>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</si>
  <si>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</si>
  <si>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</si>
  <si>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</si>
  <si>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</si>
  <si>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</si>
  <si>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</si>
  <si>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</si>
  <si>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</si>
  <si>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</si>
  <si>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</si>
  <si>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</si>
  <si>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</si>
  <si>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</si>
  <si>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</si>
  <si>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</si>
  <si>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</si>
  <si>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</si>
  <si>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</si>
  <si>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</si>
  <si>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</si>
  <si>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</si>
  <si>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</si>
  <si>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</si>
  <si>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</si>
  <si>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</si>
  <si>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</si>
  <si>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</si>
  <si>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</si>
  <si>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</si>
  <si>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</si>
  <si>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</si>
  <si>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</si>
  <si>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</si>
  <si>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</si>
  <si>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</si>
  <si>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</si>
  <si>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</si>
  <si>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</si>
  <si>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</si>
  <si>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</si>
  <si>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</si>
  <si>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</si>
  <si>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</si>
  <si>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</si>
  <si>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</si>
  <si>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</si>
  <si>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</si>
  <si>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</si>
  <si>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</si>
  <si>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</si>
  <si>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</si>
  <si>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</si>
  <si>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</si>
  <si>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</si>
  <si>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</si>
  <si>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</si>
  <si>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</si>
  <si>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</si>
  <si>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</si>
  <si>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</si>
  <si>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</si>
  <si>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</si>
  <si>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</si>
  <si>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</si>
  <si>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</si>
  <si>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</si>
  <si>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</si>
  <si>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</si>
  <si>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</si>
  <si>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</si>
  <si>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</si>
  <si>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</si>
  <si>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</si>
  <si>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</si>
  <si>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</si>
  <si>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</si>
  <si>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</si>
  <si>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</si>
  <si>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</si>
  <si>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</si>
  <si>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</si>
  <si>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</si>
  <si>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</si>
  <si>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</si>
  <si>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</si>
  <si>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</si>
  <si>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</si>
  <si>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</si>
  <si>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</si>
  <si>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</si>
  <si>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</si>
  <si>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</si>
  <si>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</si>
  <si>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</si>
  <si>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</si>
  <si>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</si>
  <si>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</si>
  <si>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</si>
  <si>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</si>
  <si>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</si>
  <si>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</si>
  <si>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</si>
  <si>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</si>
  <si>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</si>
  <si>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</si>
  <si>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</si>
  <si>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</si>
  <si>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</si>
  <si>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</si>
  <si>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</si>
  <si>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</si>
  <si>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</si>
  <si>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</si>
  <si>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</si>
  <si>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</si>
  <si>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</si>
  <si>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</si>
  <si>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</si>
  <si>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</si>
  <si>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</si>
  <si>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</si>
  <si>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</si>
  <si>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</si>
  <si>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</si>
  <si>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</si>
  <si>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</si>
  <si>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</si>
  <si>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</si>
  <si>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</si>
  <si>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</si>
  <si>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</si>
  <si>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</si>
  <si>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</si>
  <si>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</si>
  <si>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</si>
  <si>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</si>
  <si>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</si>
  <si>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</si>
  <si>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</si>
  <si>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</si>
  <si>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</si>
  <si>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</si>
  <si>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</si>
  <si>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</si>
  <si>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</si>
  <si>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</si>
  <si>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</si>
  <si>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</si>
  <si>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</si>
  <si>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</si>
  <si>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</si>
  <si>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</si>
  <si>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</si>
  <si>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</si>
  <si>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</si>
  <si>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</si>
  <si>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</si>
  <si>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</si>
  <si>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</si>
  <si>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</si>
  <si>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</si>
  <si>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</si>
  <si>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</si>
  <si>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</si>
  <si>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</si>
  <si>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</si>
  <si>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</si>
  <si>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</si>
  <si>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</si>
  <si>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</si>
  <si>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</si>
  <si>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</si>
  <si>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</si>
  <si>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</si>
  <si>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</si>
  <si>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</si>
  <si>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</si>
  <si>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</si>
  <si>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</si>
  <si>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</si>
  <si>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</si>
  <si>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</si>
  <si>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</si>
  <si>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</si>
  <si>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</si>
  <si>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</si>
  <si>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</si>
  <si>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</si>
  <si>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</si>
  <si>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</si>
  <si>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</si>
  <si>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SRC_DEM_018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</si>
  <si>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</si>
  <si>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</si>
  <si>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</si>
  <si>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</si>
  <si>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</si>
  <si>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支出）；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分母改連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計價），與分子 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口徑是否一致待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</si>
  <si>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</si>
  <si>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</si>
  <si>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</si>
  <si>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</si>
  <si>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</si>
  <si>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</si>
  <si>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</si>
  <si>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</si>
  <si>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</si>
  <si>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</si>
  <si>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</si>
  <si>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</si>
  <si>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</si>
  <si>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</si>
  <si>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</si>
  <si>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</si>
  <si>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</si>
  <si>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</si>
  <si>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</si>
  <si>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</si>
  <si>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</si>
  <si>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</si>
  <si>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</si>
  <si>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</si>
  <si>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</si>
  <si>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</si>
  <si>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</si>
  <si>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</si>
  <si>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</si>
  <si>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</si>
  <si>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</si>
  <si>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</si>
  <si>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</si>
  <si>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</si>
  <si>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</si>
  <si>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</si>
  <si>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CTL_ProdDerate × 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持有成本」（折減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時相等；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）；外部欄依工作單連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的外部值（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推論毛利隱含值，口徑不同：毛利率 對 倍數）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</si>
  <si>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</si>
  <si>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</si>
  <si>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</si>
  <si>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外部為毛利率口徑（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營收），與本列倍數口徑不同，判讀欄僅供方向參考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</si>
  <si>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</si>
  <si>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；＝每 </t>
    </r>
    <r>
      <rPr>
        <sz val="10"/>
        <color rgb="FF000000"/>
        <rFont val="Arial"/>
        <family val="0"/>
        <charset val="1"/>
      </rPr>
      <t xml:space="preserve">GW ÷ 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</si>
  <si>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</si>
  <si>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</si>
  <si>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</si>
  <si>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</si>
  <si>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</si>
  <si>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</si>
  <si>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；＝每 </t>
    </r>
    <r>
      <rPr>
        <sz val="10"/>
        <color rgb="FF000000"/>
        <rFont val="Arial"/>
        <family val="0"/>
        <charset val="1"/>
      </rPr>
      <t xml:space="preserve">GW ÷ 1,000</t>
    </r>
    <r>
      <rPr>
        <sz val="10"/>
        <color rgb="FF000000"/>
        <rFont val="Noto Sans CJK SC"/>
        <family val="2"/>
      </rPr>
      <t xml:space="preserve">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</si>
  <si>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</si>
  <si>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；＝每 </t>
    </r>
    <r>
      <rPr>
        <sz val="10"/>
        <color rgb="FF000000"/>
        <rFont val="Arial"/>
        <family val="0"/>
        <charset val="1"/>
      </rPr>
      <t xml:space="preserve">GW ÷ 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</si>
  <si>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外部（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列）為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的新雲損益兩平租金，口徑不同，判讀欄僅供方向參考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</si>
  <si>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</si>
  <si>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；＝每 </t>
    </r>
    <r>
      <rPr>
        <sz val="10"/>
        <color rgb="FF000000"/>
        <rFont val="Arial"/>
        <family val="0"/>
        <charset val="1"/>
      </rPr>
      <t xml:space="preserve">GW ÷ 1,000</t>
    </r>
    <r>
      <rPr>
        <sz val="10"/>
        <color rgb="FF000000"/>
        <rFont val="Noto Sans CJK SC"/>
        <family val="2"/>
      </rPr>
      <t xml:space="preserve">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</si>
  <si>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</si>
  <si>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</si>
  <si>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</si>
  <si>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</si>
  <si>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</si>
  <si>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</si>
  <si>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</si>
  <si>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</si>
  <si>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</si>
  <si>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</si>
  <si>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</si>
  <si>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</si>
  <si>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</si>
  <si>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</si>
  <si>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</si>
  <si>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</si>
  <si>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</si>
  <si>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</si>
  <si>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</si>
  <si>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</si>
  <si>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</si>
  <si>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</si>
  <si>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</si>
  <si>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</si>
  <si>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</si>
  <si>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</si>
  <si>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</si>
  <si>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</si>
  <si>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</si>
  <si>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</si>
  <si>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</si>
  <si>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</si>
  <si>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</si>
  <si>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</si>
  <si>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</si>
  <si>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</si>
  <si>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</si>
  <si>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</si>
  <si>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</si>
  <si>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</si>
  <si>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</si>
  <si>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</si>
  <si>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</si>
  <si>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</si>
  <si>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</si>
  <si>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</si>
  <si>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</si>
  <si>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</si>
  <si>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</si>
  <si>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</si>
  <si>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</si>
  <si>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</si>
  <si>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</si>
  <si>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</si>
  <si>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</si>
  <si>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</si>
  <si>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</si>
  <si>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</si>
  <si>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</si>
  <si>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</si>
  <si>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</si>
  <si>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</si>
  <si>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</si>
  <si>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</si>
  <si>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</si>
  <si>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</si>
  <si>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</si>
  <si>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</si>
  <si>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</si>
  <si>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</si>
  <si>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</si>
  <si>
    <r>
      <rPr>
        <sz val="10"/>
        <color rgb="FF000000"/>
        <rFont val="Arial"/>
        <family val="0"/>
        <charset val="1"/>
      </rPr>
      <t xml:space="preserve">Alloc_In C15 ÷ CST_TokPerPromptV528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</si>
  <si>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÷ 2,000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</si>
  <si>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4,000 ÷ 2,000</t>
    </r>
    <r>
      <rPr>
        <sz val="10"/>
        <color rgb="FF000000"/>
        <rFont val="Noto Sans CJK SC"/>
        <family val="2"/>
      </rPr>
      <t xml:space="preserve">）；外部為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（換成同口徑倍數）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</si>
  <si>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</si>
  <si>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</si>
  <si>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</si>
  <si>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</si>
  <si>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</si>
  <si>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</si>
  <si>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</si>
  <si>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</si>
  <si>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</si>
  <si>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</si>
  <si>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</si>
  <si>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</si>
  <si>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</si>
  <si>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：參考請求 </t>
    </r>
    <r>
      <rPr>
        <sz val="10"/>
        <color rgb="FF000000"/>
        <rFont val="Arial"/>
        <family val="0"/>
        <charset val="1"/>
      </rPr>
      <t xml:space="preserve">ISL 16K </t>
    </r>
    <r>
      <rPr>
        <sz val="10"/>
        <color rgb="FF000000"/>
        <rFont val="Noto Sans CJK SC"/>
        <family val="2"/>
      </rPr>
      <t xml:space="preserve">對實際混合（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基準 </t>
    </r>
    <r>
      <rPr>
        <sz val="10"/>
        <color rgb="FF000000"/>
        <rFont val="Arial"/>
        <family val="0"/>
        <charset val="1"/>
      </rPr>
      <t xml:space="preserve">÷ ISL 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</si>
  <si>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ISL 4K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(m)</t>
    </r>
  </si>
  <si>
    <r>
      <rPr>
        <sz val="10"/>
        <color rgb="FF000000"/>
        <rFont val="Noto Sans CJK SC"/>
        <family val="2"/>
      </rPr>
      <t xml:space="preserve">低＝基準 </t>
    </r>
    <r>
      <rPr>
        <sz val="10"/>
        <color rgb="FF000000"/>
        <rFont val="Arial"/>
        <family val="0"/>
        <charset val="1"/>
      </rPr>
      <t xml:space="preserve">÷ ISL 64K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）；高＝基準（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端）</t>
    </r>
  </si>
  <si>
    <r>
      <rPr>
        <sz val="10"/>
        <color rgb="FF000000"/>
        <rFont val="Noto Sans CJK SC"/>
        <family val="2"/>
      </rPr>
      <t xml:space="preserve">總產出隨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上升（</t>
    </r>
    <r>
      <rPr>
        <sz val="10"/>
        <color rgb="FF000000"/>
        <rFont val="Arial"/>
        <family val="0"/>
        <charset val="1"/>
      </rPr>
      <t xml:space="preserve">prefill token </t>
    </r>
    <r>
      <rPr>
        <sz val="10"/>
        <color rgb="FF000000"/>
        <rFont val="Noto Sans CJK SC"/>
        <family val="2"/>
      </rPr>
      <t xml:space="preserve">便宜）：實際混合偏短時每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產出低於參考請求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</si>
  <si>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η_p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</si>
  <si>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GM245–247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</si>
  <si>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</si>
  <si>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</si>
  <si>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：模型利用率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</si>
  <si>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</si>
  <si>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1.46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 ÷ 0.35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</si>
  <si>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</si>
  <si>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</si>
  <si>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</si>
  <si>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</si>
  <si>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</si>
  <si>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比值＝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</si>
  <si>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</si>
  <si>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</si>
  <si>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</si>
  <si>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</si>
  <si>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</si>
  <si>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比值）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</si>
  <si>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</si>
  <si>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比對即時篩選數與本頁列數）。反轉門檻欄本版空白，待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端填。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</si>
  <si>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</si>
  <si>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</si>
  <si>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</si>
  <si>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</si>
  <si>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</si>
  <si>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</si>
  <si>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</si>
  <si>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</si>
  <si>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</si>
  <si>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反轉門檻（本版空白，待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</si>
  <si>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</si>
  <si>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</si>
  <si>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</si>
  <si>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</si>
  <si>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</si>
  <si>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</si>
  <si>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</si>
  <si>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</si>
  <si>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</si>
  <si>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</si>
  <si>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</si>
  <si>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</si>
  <si>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</si>
  <si>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</si>
  <si>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</si>
  <si>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</si>
  <si>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</si>
  <si>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</si>
  <si>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</si>
  <si>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</si>
  <si>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</si>
  <si>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</si>
  <si>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</si>
  <si>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</si>
  <si>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</si>
  <si>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</si>
  <si>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</si>
  <si>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</si>
  <si>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</si>
  <si>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</si>
  <si>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</si>
  <si>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</si>
  <si>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</si>
  <si>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</si>
  <si>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</si>
  <si>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</si>
  <si>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</si>
  <si>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</si>
  <si>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</si>
  <si>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</si>
  <si>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</si>
  <si>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</si>
  <si>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</si>
  <si>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</si>
  <si>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</si>
  <si>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</si>
  <si>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</si>
  <si>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</si>
  <si>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</si>
  <si>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</si>
  <si>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</si>
  <si>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</si>
  <si>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</si>
  <si>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</si>
  <si>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</si>
  <si>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</si>
  <si>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</si>
  <si>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</si>
  <si>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</si>
  <si>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</si>
  <si>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</si>
  <si>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</si>
  <si>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</si>
  <si>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</si>
  <si>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</si>
  <si>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</si>
  <si>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</si>
  <si>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</si>
  <si>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</si>
  <si>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</si>
  <si>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</si>
  <si>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</si>
  <si>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</si>
  <si>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</si>
  <si>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</si>
  <si>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</si>
  <si>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</si>
  <si>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</si>
  <si>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</si>
  <si>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</si>
  <si>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</si>
  <si>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</si>
  <si>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</si>
  <si>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</si>
  <si>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</si>
  <si>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</si>
  <si>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</si>
  <si>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</si>
  <si>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</si>
  <si>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</si>
  <si>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</si>
  <si>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</si>
  <si>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</si>
  <si>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</si>
  <si>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</si>
  <si>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</si>
  <si>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</si>
  <si>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</si>
  <si>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</si>
  <si>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</si>
  <si>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</si>
  <si>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</si>
  <si>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</si>
  <si>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</si>
  <si>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</si>
  <si>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</si>
  <si>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</si>
  <si>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</si>
  <si>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</si>
  <si>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</si>
  <si>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</si>
  <si>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</si>
  <si>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</si>
  <si>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</si>
  <si>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</si>
  <si>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</si>
  <si>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</si>
  <si>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</si>
  <si>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</si>
  <si>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</si>
  <si>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</si>
  <si>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</si>
  <si>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</si>
  <si>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</si>
  <si>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</si>
  <si>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</si>
  <si>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</si>
  <si>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</si>
  <si>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</si>
  <si>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</si>
  <si>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</si>
  <si>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</si>
  <si>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</si>
  <si>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</si>
  <si>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</si>
  <si>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</si>
  <si>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</si>
  <si>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</si>
  <si>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</si>
  <si>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</si>
  <si>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</si>
  <si>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</si>
  <si>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</si>
  <si>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</si>
  <si>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</si>
  <si>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</si>
  <si>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</si>
  <si>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</si>
  <si>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</si>
  <si>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</si>
  <si>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</si>
  <si>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</si>
  <si>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</si>
  <si>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</si>
  <si>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</si>
  <si>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</si>
  <si>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</si>
  <si>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</si>
  <si>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</si>
  <si>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</si>
  <si>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</si>
  <si>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</si>
  <si>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</si>
  <si>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</si>
  <si>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</si>
  <si>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</si>
  <si>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</si>
  <si>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</si>
  <si>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</si>
  <si>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</si>
  <si>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</si>
  <si>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</si>
  <si>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</si>
  <si>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</si>
  <si>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</si>
  <si>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</si>
  <si>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</si>
  <si>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</si>
  <si>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</si>
  <si>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</si>
  <si>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</si>
  <si>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</si>
  <si>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</si>
  <si>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</si>
  <si>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</si>
  <si>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</si>
  <si>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</si>
  <si>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</si>
  <si>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</si>
  <si>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</si>
  <si>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</si>
  <si>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</si>
  <si>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</si>
  <si>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</si>
  <si>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</si>
  <si>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</si>
  <si>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</si>
  <si>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</si>
  <si>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</si>
  <si>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</si>
  <si>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</si>
  <si>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</si>
  <si>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</si>
  <si>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</si>
  <si>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</si>
  <si>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</si>
  <si>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</si>
  <si>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</si>
  <si>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</si>
  <si>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</si>
  <si>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</si>
  <si>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</si>
  <si>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</si>
  <si>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</si>
  <si>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</si>
  <si>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</si>
  <si>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</si>
  <si>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</si>
  <si>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</si>
  <si>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</si>
  <si>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</si>
  <si>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</si>
  <si>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</si>
  <si>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</si>
  <si>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</si>
  <si>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</si>
  <si>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</si>
  <si>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</si>
  <si>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</si>
  <si>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</si>
  <si>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</si>
  <si>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</si>
  <si>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</si>
  <si>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</si>
  <si>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</si>
  <si>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</si>
  <si>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</si>
  <si>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</si>
  <si>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</si>
  <si>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</si>
  <si>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</si>
  <si>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</si>
  <si>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</si>
  <si>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</si>
  <si>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</si>
  <si>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</si>
  <si>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</si>
  <si>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</si>
  <si>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</si>
  <si>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</si>
  <si>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</si>
  <si>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</si>
  <si>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</si>
  <si>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</si>
  <si>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</si>
  <si>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</si>
  <si>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</si>
  <si>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</si>
  <si>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</si>
  <si>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</si>
  <si>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</si>
  <si>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</si>
  <si>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</si>
  <si>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</si>
  <si>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</si>
  <si>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</si>
  <si>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</si>
  <si>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</si>
  <si>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</si>
  <si>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</si>
  <si>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</si>
  <si>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</si>
  <si>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</si>
  <si>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</si>
  <si>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</si>
  <si>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</si>
  <si>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</si>
  <si>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</si>
  <si>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</si>
  <si>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</si>
  <si>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</si>
  <si>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</si>
  <si>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</si>
  <si>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</si>
  <si>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</si>
  <si>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</si>
  <si>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</si>
  <si>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</si>
  <si>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</si>
  <si>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</si>
  <si>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</si>
  <si>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</si>
  <si>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</si>
  <si>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</si>
  <si>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</si>
  <si>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</si>
  <si>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</si>
  <si>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</si>
  <si>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</si>
  <si>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</si>
  <si>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</si>
  <si>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</si>
  <si>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</si>
  <si>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</si>
  <si>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</si>
  <si>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</si>
  <si>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</si>
  <si>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</si>
  <si>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</si>
  <si>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</si>
  <si>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</si>
  <si>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</si>
  <si>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</si>
  <si>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</si>
  <si>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</si>
  <si>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</si>
  <si>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</si>
  <si>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</si>
  <si>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</si>
  <si>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</si>
  <si>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</si>
  <si>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</si>
  <si>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</si>
  <si>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</si>
  <si>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</si>
  <si>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</si>
  <si>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</si>
  <si>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</si>
  <si>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</si>
  <si>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</si>
  <si>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</si>
  <si>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</si>
  <si>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</si>
  <si>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</si>
  <si>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</si>
  <si>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</si>
  <si>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</si>
  <si>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</si>
  <si>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</si>
  <si>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</si>
  <si>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</si>
  <si>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</si>
  <si>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</si>
  <si>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</si>
  <si>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</si>
  <si>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</si>
  <si>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</si>
  <si>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</si>
  <si>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</si>
  <si>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</si>
  <si>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</si>
  <si>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</si>
  <si>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</si>
  <si>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</si>
  <si>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</si>
  <si>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</si>
  <si>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</si>
  <si>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</si>
  <si>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</si>
  <si>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</si>
  <si>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</si>
  <si>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</si>
  <si>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</si>
  <si>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</si>
  <si>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</si>
  <si>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</si>
  <si>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</si>
  <si>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</si>
  <si>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</si>
  <si>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</si>
  <si>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</si>
  <si>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</si>
  <si>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</si>
  <si>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</si>
  <si>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</si>
  <si>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</si>
  <si>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</si>
  <si>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</si>
  <si>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</si>
  <si>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</si>
  <si>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</si>
  <si>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</si>
  <si>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</si>
  <si>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</si>
  <si>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</si>
  <si>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</si>
  <si>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</si>
  <si>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</si>
  <si>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</si>
  <si>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</si>
  <si>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</si>
  <si>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</si>
  <si>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</si>
  <si>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</si>
  <si>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</si>
  <si>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</si>
  <si>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</si>
  <si>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</si>
  <si>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</si>
  <si>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</si>
  <si>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</si>
  <si>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</si>
  <si>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</si>
  <si>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</si>
  <si>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</si>
  <si>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</si>
  <si>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</si>
  <si>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</si>
  <si>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</si>
  <si>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</si>
  <si>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</si>
  <si>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</si>
  <si>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</si>
  <si>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</si>
  <si>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</si>
  <si>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R6:R310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</si>
  <si>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</si>
  <si>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節理論營收列數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</si>
  <si>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</si>
  <si>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</si>
  <si>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四層瀑布自我檢查：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列不等於來源列的格數（絕對差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</si>
  <si>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289–310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</si>
  <si>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</si>
  <si>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＝不等；基準下等於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倍，見報告）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</si>
  <si>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</si>
  <si>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</si>
  <si>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</si>
  <si>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</si>
  <si>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</si>
  <si>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</si>
  <si>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</si>
  <si>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</si>
  <si>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</si>
  <si>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</si>
  <si>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</si>
  <si>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</si>
  <si>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</si>
  <si>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</si>
  <si>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</si>
  <si>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</si>
  <si>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</si>
  <si>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</si>
  <si>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</si>
  <si>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</si>
  <si>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</si>
  <si>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</si>
  <si>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</si>
  <si>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</si>
  <si>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</si>
  <si>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</si>
  <si>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</si>
  <si>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</si>
  <si>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</si>
  <si>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</si>
  <si>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</si>
  <si>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</si>
  <si>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</si>
  <si>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</si>
  <si>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</si>
  <si>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</si>
  <si>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</si>
  <si>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</si>
  <si>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</si>
  <si>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</si>
  <si>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</si>
  <si>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</si>
  <si>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</si>
  <si>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</si>
  <si>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</si>
  <si>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</si>
  <si>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</si>
  <si>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</si>
  <si>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</si>
  <si>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</si>
  <si>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</si>
  <si>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</si>
  <si>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</si>
  <si>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</si>
  <si>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</si>
  <si>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</si>
  <si>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</si>
  <si>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</si>
  <si>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</si>
  <si>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</si>
  <si>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</si>
  <si>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</si>
  <si>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</si>
  <si>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</si>
  <si>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</si>
  <si>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</si>
  <si>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</si>
  <si>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</si>
  <si>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</si>
  <si>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</si>
  <si>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</si>
  <si>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</si>
  <si>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</si>
  <si>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</si>
  <si>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</si>
  <si>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</si>
  <si>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</si>
  <si>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</si>
  <si>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</si>
  <si>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</si>
  <si>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</si>
  <si>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</si>
  <si>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</si>
  <si>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</si>
  <si>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</si>
  <si>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</si>
  <si>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</si>
  <si>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</si>
  <si>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</si>
  <si>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</si>
  <si>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</si>
  <si>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</si>
  <si>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</si>
  <si>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</si>
  <si>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</si>
  <si>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</si>
  <si>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</si>
  <si>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</si>
  <si>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</si>
  <si>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</si>
  <si>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</si>
  <si>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</si>
  <si>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</si>
  <si>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</si>
  <si>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</si>
  <si>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</si>
  <si>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</si>
  <si>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</si>
  <si>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</si>
  <si>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</si>
  <si>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</si>
  <si>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</si>
  <si>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</si>
  <si>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</si>
  <si>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</si>
  <si>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</si>
  <si>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</si>
  <si>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</si>
  <si>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</si>
  <si>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</si>
  <si>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</si>
  <si>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</si>
  <si>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</si>
  <si>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</si>
  <si>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</si>
  <si>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</si>
  <si>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</si>
  <si>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</si>
  <si>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</si>
  <si>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</si>
  <si>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</si>
  <si>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</si>
  <si>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</si>
  <si>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</si>
  <si>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</si>
  <si>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</si>
  <si>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</si>
  <si>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</si>
  <si>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</si>
  <si>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</si>
  <si>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</si>
  <si>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</si>
  <si>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</si>
  <si>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</si>
  <si>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</si>
  <si>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</si>
  <si>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</si>
  <si>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</si>
  <si>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</si>
  <si>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</si>
  <si>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</si>
  <si>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</si>
  <si>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</si>
  <si>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</si>
  <si>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</si>
  <si>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</si>
  <si>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</si>
  <si>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</si>
  <si>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</si>
  <si>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</si>
  <si>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</si>
  <si>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</si>
  <si>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</si>
  <si>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</si>
  <si>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</si>
  <si>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</si>
  <si>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</si>
  <si>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</si>
  <si>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</si>
  <si>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</si>
  <si>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</si>
  <si>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</si>
  <si>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</si>
  <si>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</si>
  <si>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</si>
  <si>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</si>
  <si>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</si>
  <si>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</si>
  <si>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</si>
  <si>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</si>
  <si>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</si>
  <si>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</si>
  <si>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</si>
  <si>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</si>
  <si>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</si>
  <si>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</si>
  <si>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</si>
  <si>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</si>
  <si>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</si>
  <si>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</si>
  <si>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</si>
  <si>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</si>
  <si>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</si>
  <si>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</si>
  <si>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</si>
  <si>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</si>
  <si>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</si>
  <si>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</si>
  <si>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</si>
  <si>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</si>
  <si>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</si>
  <si>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</si>
  <si>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</si>
  <si>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</si>
  <si>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</si>
  <si>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</si>
  <si>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</si>
  <si>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</si>
  <si>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</si>
  <si>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</si>
  <si>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</si>
  <si>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</si>
  <si>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</si>
  <si>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</si>
  <si>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</si>
  <si>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</si>
  <si>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</si>
  <si>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</si>
  <si>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</si>
  <si>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</si>
  <si>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</si>
  <si>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</si>
  <si>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</si>
  <si>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</si>
  <si>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</si>
  <si>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</si>
  <si>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</si>
  <si>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</si>
  <si>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</si>
  <si>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</si>
  <si>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</si>
  <si>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</si>
  <si>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</si>
  <si>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</si>
  <si>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</si>
  <si>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</si>
  <si>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</si>
  <si>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</si>
  <si>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</si>
  <si>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</si>
  <si>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</si>
  <si>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</si>
  <si>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</si>
  <si>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</si>
  <si>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</si>
  <si>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</si>
  <si>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</si>
  <si>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</si>
  <si>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</si>
  <si>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</si>
  <si>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</si>
  <si>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</si>
  <si>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</si>
  <si>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</si>
  <si>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</si>
  <si>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</si>
  <si>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</si>
  <si>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</si>
  <si>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</si>
  <si>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</si>
  <si>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</si>
  <si>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</si>
  <si>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</si>
  <si>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</si>
  <si>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</si>
  <si>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</si>
  <si>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</si>
  <si>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</si>
  <si>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</si>
  <si>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</si>
  <si>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</si>
  <si>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</si>
  <si>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</si>
  <si>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</si>
  <si>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</si>
  <si>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</si>
  <si>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</si>
  <si>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</si>
  <si>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</si>
  <si>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</si>
  <si>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</si>
  <si>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</si>
  <si>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</si>
  <si>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</si>
  <si>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</si>
  <si>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</si>
  <si>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</si>
  <si>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</si>
  <si>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</si>
  <si>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</si>
  <si>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</si>
  <si>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</si>
  <si>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</si>
  <si>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</si>
  <si>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</si>
  <si>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</si>
  <si>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</si>
  <si>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</si>
  <si>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</si>
  <si>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</si>
  <si>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</si>
  <si>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</si>
  <si>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</si>
  <si>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</si>
  <si>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</si>
  <si>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</si>
  <si>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</si>
  <si>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</si>
  <si>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</si>
  <si>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</si>
  <si>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</si>
  <si>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</si>
  <si>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</si>
  <si>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</si>
  <si>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</si>
  <si>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</si>
  <si>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</si>
  <si>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</si>
  <si>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</si>
  <si>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</si>
  <si>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</si>
  <si>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</si>
  <si>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</si>
  <si>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</si>
  <si>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</si>
  <si>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</si>
  <si>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</si>
  <si>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</si>
  <si>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</si>
  <si>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</si>
  <si>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</si>
  <si>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</si>
  <si>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</si>
  <si>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</si>
  <si>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</si>
  <si>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</si>
  <si>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</si>
  <si>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</si>
  <si>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</si>
  <si>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</si>
  <si>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</si>
  <si>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</si>
  <si>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</si>
  <si>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</si>
  <si>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</si>
  <si>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</si>
  <si>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</si>
  <si>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</si>
  <si>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</si>
  <si>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</si>
  <si>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</si>
  <si>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</si>
  <si>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</si>
  <si>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</si>
  <si>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</si>
  <si>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</si>
  <si>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</si>
  <si>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</si>
  <si>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</si>
  <si>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</si>
  <si>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</si>
  <si>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</si>
  <si>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</si>
  <si>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</si>
  <si>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</si>
  <si>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</si>
  <si>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</si>
  <si>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</si>
  <si>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</si>
  <si>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</si>
  <si>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</si>
  <si>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</si>
  <si>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</si>
  <si>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</si>
  <si>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</si>
  <si>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</si>
  <si>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</si>
  <si>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</si>
  <si>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</si>
  <si>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</si>
  <si>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</si>
  <si>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</si>
  <si>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</si>
  <si>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</si>
  <si>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</si>
  <si>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</si>
  <si>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</si>
  <si>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</si>
  <si>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</si>
  <si>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</si>
  <si>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</si>
  <si>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</si>
  <si>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</si>
  <si>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</si>
  <si>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</si>
  <si>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</si>
  <si>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</si>
  <si>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</si>
  <si>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</si>
  <si>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</si>
  <si>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</si>
  <si>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</si>
  <si>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</si>
  <si>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</si>
  <si>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</si>
  <si>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</si>
  <si>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</si>
  <si>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</si>
  <si>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</si>
  <si>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</si>
  <si>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</si>
  <si>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</si>
  <si>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</si>
  <si>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</si>
  <si>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</si>
  <si>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</si>
  <si>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</si>
  <si>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</si>
  <si>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</si>
  <si>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</si>
  <si>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</si>
  <si>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</si>
  <si>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</si>
  <si>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</si>
  <si>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</si>
  <si>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</si>
  <si>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</si>
  <si>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</si>
  <si>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</si>
  <si>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</si>
  <si>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</si>
  <si>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</si>
  <si>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</si>
  <si>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</si>
  <si>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</si>
  <si>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</si>
  <si>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</si>
  <si>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</si>
  <si>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</si>
  <si>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</si>
  <si>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</si>
  <si>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</si>
  <si>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</si>
  <si>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</si>
  <si>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</si>
  <si>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</si>
  <si>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</si>
  <si>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</si>
  <si>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</si>
  <si>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</si>
  <si>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</si>
  <si>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</si>
  <si>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</si>
  <si>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</si>
  <si>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</si>
  <si>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</si>
  <si>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</si>
  <si>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</si>
  <si>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</si>
  <si>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</si>
  <si>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</si>
  <si>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</si>
  <si>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</si>
  <si>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</si>
  <si>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</si>
  <si>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</si>
  <si>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</si>
  <si>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</si>
  <si>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</si>
  <si>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</si>
  <si>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</si>
  <si>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</si>
  <si>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</si>
  <si>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</si>
  <si>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</si>
  <si>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</si>
  <si>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</si>
  <si>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</si>
  <si>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</si>
  <si>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</si>
  <si>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</si>
  <si>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</si>
  <si>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</si>
  <si>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</si>
  <si>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</si>
  <si>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</si>
  <si>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</si>
  <si>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</si>
  <si>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</si>
  <si>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</si>
  <si>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</si>
  <si>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</si>
  <si>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</si>
  <si>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</si>
  <si>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</si>
  <si>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</si>
  <si>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</si>
  <si>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</si>
  <si>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</si>
  <si>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</si>
  <si>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</si>
  <si>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</si>
  <si>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</si>
  <si>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</si>
  <si>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</si>
  <si>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</si>
  <si>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</si>
  <si>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</si>
  <si>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</si>
  <si>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</si>
  <si>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</si>
  <si>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</si>
  <si>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</si>
  <si>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</si>
  <si>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</si>
  <si>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</si>
  <si>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</si>
  <si>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</si>
  <si>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</si>
  <si>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</si>
  <si>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</si>
  <si>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</si>
  <si>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</si>
  <si>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</si>
  <si>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</si>
  <si>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</si>
  <si>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</si>
  <si>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</si>
  <si>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</si>
  <si>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</si>
  <si>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</si>
  <si>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</si>
  <si>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</si>
  <si>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</si>
  <si>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</si>
  <si>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</si>
  <si>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</si>
  <si>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</si>
  <si>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</si>
  <si>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</si>
  <si>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</si>
  <si>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</si>
  <si>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</si>
  <si>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</si>
  <si>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</si>
  <si>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</si>
  <si>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</si>
  <si>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</si>
  <si>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</si>
  <si>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</si>
  <si>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</si>
  <si>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</si>
  <si>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</si>
  <si>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</si>
  <si>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</si>
  <si>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</si>
  <si>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</si>
  <si>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</si>
  <si>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</si>
  <si>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</si>
  <si>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</si>
  <si>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</si>
  <si>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</si>
  <si>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</si>
  <si>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</si>
  <si>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</si>
  <si>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</si>
  <si>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</si>
  <si>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</si>
  <si>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</si>
  <si>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</si>
  <si>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</si>
  <si>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</si>
  <si>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</si>
  <si>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</si>
  <si>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</si>
  <si>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</si>
  <si>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</si>
  <si>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</si>
  <si>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</si>
  <si>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</si>
  <si>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</si>
  <si>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</si>
  <si>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</si>
  <si>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</si>
  <si>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</si>
  <si>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</si>
  <si>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</si>
  <si>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</si>
  <si>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</si>
  <si>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</si>
  <si>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</si>
  <si>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</si>
  <si>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</si>
  <si>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</si>
  <si>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</si>
  <si>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</si>
  <si>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</si>
  <si>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</si>
  <si>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</si>
  <si>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</si>
  <si>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</si>
  <si>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</si>
  <si>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</si>
  <si>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</si>
  <si>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</si>
  <si>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</si>
  <si>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</si>
  <si>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</si>
  <si>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</si>
  <si>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</si>
  <si>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</si>
  <si>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</si>
  <si>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</si>
  <si>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</si>
  <si>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</si>
  <si>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</si>
  <si>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</si>
  <si>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</si>
  <si>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</si>
  <si>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</si>
  <si>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</si>
  <si>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</si>
  <si>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</si>
  <si>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</si>
  <si>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</si>
  <si>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</si>
  <si>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</si>
  <si>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</si>
  <si>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</si>
  <si>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</si>
  <si>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</si>
  <si>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</si>
  <si>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</si>
  <si>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</si>
  <si>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</si>
  <si>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</si>
  <si>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</si>
  <si>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</si>
  <si>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</si>
  <si>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</si>
  <si>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</si>
  <si>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</si>
  <si>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</si>
  <si>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</si>
  <si>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</si>
  <si>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</si>
  <si>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</si>
  <si>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</si>
  <si>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</si>
  <si>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</si>
  <si>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</si>
  <si>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</si>
  <si>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</si>
  <si>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</si>
  <si>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</si>
  <si>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</si>
  <si>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</si>
  <si>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</si>
  <si>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</si>
  <si>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</si>
  <si>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</si>
  <si>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</si>
  <si>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</si>
  <si>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</si>
  <si>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</si>
  <si>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</si>
  <si>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</si>
  <si>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</si>
  <si>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</si>
  <si>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</si>
  <si>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</si>
  <si>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</si>
  <si>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</si>
  <si>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</si>
  <si>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</si>
  <si>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</si>
  <si>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</si>
  <si>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</si>
  <si>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</si>
  <si>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</si>
  <si>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</si>
  <si>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</si>
  <si>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</si>
  <si>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</si>
  <si>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</si>
  <si>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</si>
  <si>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</si>
  <si>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</si>
  <si>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</si>
  <si>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</si>
  <si>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</si>
  <si>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</si>
  <si>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</si>
  <si>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</si>
  <si>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</si>
  <si>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</si>
  <si>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</si>
  <si>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</si>
  <si>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</si>
  <si>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</si>
  <si>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</si>
  <si>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</si>
  <si>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</si>
  <si>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</si>
  <si>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</si>
  <si>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</si>
  <si>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</si>
  <si>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</si>
  <si>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</si>
  <si>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</si>
  <si>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</si>
  <si>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</si>
  <si>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</si>
  <si>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</si>
  <si>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</si>
  <si>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</si>
  <si>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</si>
  <si>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</si>
  <si>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</si>
  <si>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</si>
  <si>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</si>
  <si>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</si>
  <si>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</si>
  <si>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</si>
  <si>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</si>
  <si>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</si>
  <si>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</si>
  <si>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</si>
  <si>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</si>
  <si>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</si>
  <si>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</si>
  <si>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</si>
  <si>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</si>
  <si>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</si>
  <si>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</si>
  <si>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</si>
  <si>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</si>
  <si>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</si>
  <si>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</si>
  <si>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</si>
  <si>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</si>
  <si>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</si>
  <si>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</si>
  <si>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</si>
  <si>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</si>
  <si>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</si>
  <si>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</si>
  <si>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</si>
  <si>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</si>
  <si>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</si>
  <si>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</si>
  <si>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</si>
  <si>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</si>
  <si>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</si>
  <si>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</si>
  <si>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</si>
  <si>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</si>
  <si>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</si>
  <si>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</si>
  <si>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</si>
  <si>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</si>
  <si>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</si>
  <si>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</si>
  <si>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</si>
  <si>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</si>
  <si>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</si>
  <si>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</si>
  <si>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</si>
  <si>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</si>
  <si>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</si>
  <si>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</si>
  <si>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</si>
  <si>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</si>
  <si>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</si>
  <si>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</si>
  <si>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</si>
  <si>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</si>
  <si>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</si>
  <si>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</si>
  <si>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</si>
  <si>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</si>
  <si>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</si>
  <si>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</si>
  <si>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</si>
  <si>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</si>
  <si>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</si>
  <si>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</si>
  <si>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</si>
  <si>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</si>
  <si>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</si>
  <si>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</si>
  <si>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</si>
  <si>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</si>
  <si>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</si>
  <si>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</si>
  <si>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</si>
  <si>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</si>
  <si>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</si>
  <si>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</si>
  <si>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</si>
  <si>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</si>
  <si>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</si>
  <si>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</si>
  <si>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</si>
  <si>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</si>
  <si>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</si>
  <si>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</si>
  <si>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</si>
  <si>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</si>
  <si>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</si>
  <si>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</si>
  <si>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</si>
  <si>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</si>
  <si>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</si>
  <si>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</si>
  <si>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</si>
  <si>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</si>
  <si>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</si>
  <si>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</si>
  <si>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</si>
  <si>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</si>
  <si>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</si>
  <si>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</si>
  <si>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</si>
  <si>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</si>
  <si>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</si>
  <si>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</si>
  <si>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</si>
  <si>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</si>
  <si>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</si>
  <si>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</si>
  <si>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</si>
  <si>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</si>
  <si>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</si>
  <si>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</si>
  <si>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</si>
  <si>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</si>
  <si>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</si>
  <si>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</si>
  <si>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</si>
  <si>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</si>
  <si>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</si>
  <si>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</si>
  <si>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</si>
  <si>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</si>
  <si>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</si>
  <si>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</si>
  <si>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</si>
  <si>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</si>
  <si>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</si>
  <si>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</si>
  <si>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</si>
  <si>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</si>
  <si>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</si>
  <si>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</si>
  <si>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</si>
  <si>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</si>
  <si>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</si>
  <si>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</si>
  <si>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</si>
  <si>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</si>
  <si>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</si>
  <si>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</si>
  <si>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</si>
  <si>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</si>
  <si>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</si>
  <si>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</si>
  <si>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</si>
  <si>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</si>
  <si>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</si>
  <si>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</si>
  <si>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</si>
  <si>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</si>
  <si>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</si>
  <si>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</si>
  <si>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</si>
  <si>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</si>
  <si>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</si>
  <si>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</si>
  <si>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</si>
  <si>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</si>
  <si>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</si>
  <si>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</si>
  <si>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</si>
  <si>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</si>
  <si>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</si>
  <si>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</si>
  <si>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</si>
  <si>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</si>
  <si>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</si>
  <si>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</si>
  <si>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</si>
  <si>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</si>
  <si>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</si>
  <si>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</si>
  <si>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</si>
  <si>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</si>
  <si>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</si>
  <si>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</si>
  <si>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</si>
  <si>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</si>
  <si>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</si>
  <si>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</si>
  <si>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</si>
  <si>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</si>
  <si>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</si>
  <si>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</si>
  <si>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</si>
  <si>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</si>
  <si>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</si>
  <si>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</si>
  <si>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</si>
  <si>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</si>
  <si>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</si>
  <si>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</si>
  <si>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</si>
  <si>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</si>
  <si>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</si>
  <si>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</si>
  <si>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</si>
  <si>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</si>
  <si>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</si>
  <si>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</si>
  <si>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</si>
  <si>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</si>
  <si>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</si>
  <si>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</si>
  <si>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</si>
  <si>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</si>
  <si>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</si>
  <si>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</si>
  <si>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</si>
  <si>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</si>
  <si>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</si>
  <si>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</si>
  <si>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</si>
  <si>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</si>
  <si>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</si>
  <si>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</si>
  <si>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</si>
  <si>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</si>
  <si>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</si>
  <si>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</si>
  <si>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</si>
  <si>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</si>
  <si>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</si>
  <si>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</si>
  <si>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</si>
  <si>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</si>
  <si>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</si>
  <si>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</si>
  <si>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</si>
  <si>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</si>
  <si>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</si>
  <si>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</si>
  <si>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</si>
  <si>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</si>
  <si>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</si>
  <si>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</si>
  <si>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</si>
  <si>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</si>
  <si>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</si>
  <si>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</si>
  <si>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</si>
  <si>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</si>
  <si>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</si>
  <si>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</si>
  <si>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</si>
  <si>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</si>
  <si>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</si>
  <si>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</si>
  <si>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</si>
  <si>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</si>
  <si>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</si>
  <si>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</si>
  <si>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</si>
  <si>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</si>
  <si>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</si>
  <si>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</si>
  <si>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</si>
  <si>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</si>
  <si>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</si>
  <si>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</si>
  <si>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</si>
  <si>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</si>
  <si>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</si>
  <si>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</si>
  <si>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</si>
  <si>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</si>
  <si>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</si>
  <si>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</si>
  <si>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</si>
  <si>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</si>
  <si>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</si>
  <si>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</si>
  <si>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</si>
  <si>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</si>
  <si>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</si>
  <si>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</si>
  <si>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</si>
  <si>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</si>
  <si>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</si>
  <si>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</si>
  <si>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</si>
  <si>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</si>
  <si>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</si>
  <si>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</si>
  <si>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</si>
  <si>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</si>
  <si>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</si>
  <si>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</si>
  <si>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</si>
  <si>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</si>
  <si>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</si>
  <si>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</si>
  <si>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</si>
  <si>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</si>
  <si>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</si>
  <si>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</si>
  <si>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</si>
  <si>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</si>
  <si>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</si>
  <si>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</si>
  <si>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</si>
  <si>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</si>
  <si>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</si>
  <si>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</si>
  <si>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</si>
  <si>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</si>
  <si>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</si>
  <si>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</si>
  <si>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</si>
  <si>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</si>
  <si>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</si>
  <si>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</si>
  <si>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</si>
  <si>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</si>
  <si>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</si>
  <si>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</si>
  <si>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</si>
  <si>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</si>
  <si>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</si>
  <si>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</si>
  <si>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</si>
  <si>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</si>
  <si>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</si>
  <si>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</si>
  <si>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</si>
  <si>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</si>
  <si>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</si>
  <si>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</si>
  <si>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</si>
  <si>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</si>
  <si>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</si>
  <si>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</si>
  <si>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</si>
  <si>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</si>
  <si>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</si>
  <si>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</si>
  <si>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</si>
  <si>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</si>
  <si>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</si>
  <si>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</si>
  <si>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</si>
  <si>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</si>
  <si>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</si>
  <si>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</si>
  <si>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</si>
  <si>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</si>
  <si>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</si>
  <si>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</si>
  <si>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</si>
  <si>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</si>
  <si>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</si>
  <si>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</si>
  <si>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</si>
  <si>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</si>
  <si>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</si>
  <si>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</si>
  <si>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</si>
  <si>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</si>
  <si>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</si>
  <si>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</si>
  <si>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</si>
  <si>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</si>
  <si>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</si>
  <si>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</si>
  <si>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</si>
  <si>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</si>
  <si>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</si>
  <si>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</si>
  <si>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</si>
  <si>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</si>
  <si>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</si>
  <si>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</si>
  <si>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</si>
  <si>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</si>
  <si>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</si>
  <si>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</si>
  <si>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</si>
  <si>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</si>
  <si>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</si>
  <si>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</si>
  <si>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</si>
  <si>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</si>
  <si>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</si>
  <si>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</si>
  <si>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</si>
  <si>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</si>
  <si>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</si>
  <si>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</si>
  <si>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</si>
  <si>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</si>
  <si>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</si>
  <si>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</si>
  <si>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</si>
  <si>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</si>
  <si>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</si>
  <si>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</si>
  <si>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</si>
  <si>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</si>
  <si>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</si>
  <si>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</si>
  <si>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</si>
  <si>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</si>
  <si>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</si>
  <si>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</si>
  <si>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</si>
  <si>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</si>
  <si>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</si>
  <si>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</si>
  <si>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</si>
  <si>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</si>
  <si>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</si>
  <si>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</si>
  <si>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</si>
  <si>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</si>
  <si>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</si>
  <si>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</si>
  <si>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</si>
  <si>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</si>
  <si>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(k)：SRC_ID SRC_DEM_004 → SRC_DEM_018（12.6 $B，Azure 計價）；換算 12.6 ÷（12.6＋12）＝0.512，C28 0.41 不改（G0-2 保留，待 Stage 2 判斷）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</si>
  <si>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</si>
  <si>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</si>
  <si>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</si>
  <si>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</si>
  <si>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</si>
  <si>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</si>
  <si>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SRC_DEM_005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</si>
  <si>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</si>
  <si>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</si>
  <si>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</si>
  <si>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</si>
  <si>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</si>
  <si>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</si>
  <si>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</si>
  <si>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</si>
  <si>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</si>
  <si>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</si>
  <si>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</si>
  <si>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</si>
  <si>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</si>
  <si>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</si>
  <si>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</si>
  <si>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</si>
  <si>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</si>
  <si>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</si>
  <si>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</si>
  <si>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</si>
  <si>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</si>
  <si>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</si>
  <si>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</si>
  <si>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</si>
  <si>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</si>
  <si>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</si>
  <si>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</si>
  <si>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</si>
  <si>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</si>
  <si>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</si>
  <si>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</si>
  <si>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</si>
  <si>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</si>
  <si>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</si>
  <si>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</si>
  <si>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</si>
  <si>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</si>
  <si>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</si>
  <si>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</si>
  <si>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</si>
  <si>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</si>
  <si>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</si>
  <si>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</si>
  <si>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</si>
  <si>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</si>
  <si>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</si>
  <si>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</si>
  <si>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</si>
  <si>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</si>
  <si>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</si>
  <si>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</si>
  <si>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</si>
  <si>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</si>
  <si>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</si>
  <si>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</si>
  <si>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</si>
  <si>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</si>
  <si>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</si>
  <si>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</si>
  <si>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</si>
  <si>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</si>
  <si>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</si>
  <si>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</si>
  <si>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</si>
  <si>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</si>
  <si>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</si>
  <si>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</si>
  <si>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</si>
  <si>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</si>
  <si>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</si>
  <si>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</si>
  <si>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</si>
  <si>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</si>
  <si>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</si>
  <si>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</si>
  <si>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</si>
  <si>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</si>
  <si>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</si>
  <si>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</si>
  <si>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</si>
  <si>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</si>
  <si>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</si>
  <si>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</si>
  <si>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</si>
  <si>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</si>
  <si>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</si>
  <si>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</si>
  <si>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</si>
  <si>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</si>
  <si>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</si>
  <si>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</si>
  <si>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</si>
  <si>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</si>
  <si>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</si>
  <si>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</si>
  <si>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</si>
  <si>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</si>
  <si>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</si>
  <si>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</si>
  <si>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</si>
  <si>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</si>
  <si>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</si>
  <si>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</si>
  <si>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</si>
  <si>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</si>
  <si>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</si>
  <si>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</si>
  <si>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</si>
  <si>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</si>
  <si>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</si>
  <si>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</si>
  <si>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</si>
  <si>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</si>
  <si>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</si>
  <si>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</si>
  <si>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</si>
  <si>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</si>
  <si>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</si>
  <si>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</si>
  <si>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</si>
  <si>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</si>
  <si>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</si>
  <si>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</si>
  <si>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</si>
  <si>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</si>
  <si>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</si>
  <si>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</si>
  <si>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</si>
  <si>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</si>
  <si>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</si>
  <si>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</si>
  <si>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</si>
  <si>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</si>
  <si>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</si>
  <si>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</si>
  <si>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</si>
  <si>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</si>
  <si>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</si>
  <si>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</si>
  <si>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</si>
  <si>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</si>
  <si>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</si>
  <si>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</si>
  <si>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</si>
  <si>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</si>
  <si>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</si>
  <si>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</si>
  <si>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</si>
  <si>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</si>
  <si>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</si>
  <si>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</si>
  <si>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</si>
  <si>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</si>
  <si>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</si>
  <si>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</si>
  <si>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</si>
  <si>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</si>
  <si>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</si>
  <si>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</si>
  <si>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</si>
  <si>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</si>
  <si>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</si>
  <si>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</si>
  <si>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</si>
  <si>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</si>
  <si>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</si>
  <si>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</si>
  <si>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</si>
  <si>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</si>
  <si>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</si>
  <si>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</si>
  <si>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</si>
  <si>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</si>
  <si>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</si>
  <si>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</si>
  <si>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</si>
  <si>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</si>
  <si>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</si>
  <si>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</si>
  <si>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</si>
  <si>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</si>
  <si>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</si>
  <si>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</si>
  <si>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</si>
  <si>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</si>
  <si>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</si>
  <si>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</si>
  <si>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</si>
  <si>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</si>
  <si>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</si>
  <si>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</si>
  <si>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</si>
  <si>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</si>
  <si>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</si>
  <si>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</si>
  <si>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</si>
  <si>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</si>
  <si>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</si>
  <si>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</si>
  <si>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</si>
  <si>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</si>
  <si>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</si>
  <si>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</si>
  <si>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</si>
  <si>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</si>
  <si>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</si>
  <si>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</si>
  <si>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</si>
  <si>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</si>
  <si>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</si>
  <si>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</si>
  <si>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</si>
  <si>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</si>
  <si>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</si>
  <si>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</si>
  <si>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</si>
  <si>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</si>
  <si>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</si>
  <si>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</si>
  <si>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</si>
  <si>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</si>
  <si>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</si>
  <si>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</si>
  <si>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</si>
  <si>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</si>
  <si>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</si>
  <si>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</si>
  <si>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</si>
  <si>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</si>
  <si>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</si>
  <si>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</si>
  <si>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</si>
  <si>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</si>
  <si>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</si>
  <si>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</si>
  <si>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</si>
  <si>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</si>
  <si>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</si>
  <si>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</si>
  <si>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</si>
  <si>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</si>
  <si>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</si>
  <si>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</si>
  <si>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</si>
  <si>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</si>
  <si>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</si>
  <si>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</si>
  <si>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</si>
  <si>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</si>
  <si>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</si>
  <si>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</si>
  <si>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</si>
  <si>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</si>
  <si>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</si>
  <si>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</si>
  <si>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</si>
  <si>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</si>
  <si>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</si>
  <si>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</si>
  <si>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</si>
  <si>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</si>
  <si>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</si>
  <si>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</si>
  <si>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</si>
  <si>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</si>
  <si>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</si>
  <si>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</si>
  <si>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</si>
  <si>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</si>
  <si>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</si>
  <si>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</si>
  <si>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</si>
  <si>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</si>
  <si>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</si>
  <si>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</si>
  <si>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</si>
  <si>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</si>
  <si>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</si>
  <si>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</si>
  <si>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</si>
  <si>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</si>
  <si>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</si>
  <si>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</si>
  <si>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</si>
  <si>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</si>
  <si>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</si>
  <si>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</si>
  <si>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</si>
  <si>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</si>
  <si>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</si>
  <si>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</si>
  <si>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</si>
  <si>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</si>
  <si>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</si>
  <si>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</si>
  <si>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</si>
  <si>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</si>
  <si>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</si>
  <si>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</si>
  <si>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</si>
  <si>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</si>
  <si>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</si>
  <si>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</si>
  <si>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</si>
  <si>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</si>
  <si>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</si>
  <si>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</si>
  <si>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</si>
  <si>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</si>
  <si>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</si>
  <si>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</si>
  <si>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</si>
  <si>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</si>
  <si>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</si>
  <si>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</si>
  <si>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</si>
  <si>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</si>
  <si>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</si>
  <si>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</si>
  <si>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</si>
  <si>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</si>
  <si>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</si>
  <si>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</si>
  <si>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</si>
  <si>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</si>
  <si>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</si>
  <si>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</si>
  <si>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</si>
  <si>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</si>
  <si>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</si>
  <si>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</si>
  <si>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</si>
  <si>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</si>
  <si>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</si>
  <si>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</si>
  <si>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</si>
  <si>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</si>
  <si>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</si>
  <si>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</si>
  <si>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</si>
  <si>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</si>
  <si>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</si>
  <si>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</si>
  <si>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</si>
  <si>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</si>
  <si>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</si>
  <si>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</si>
  <si>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</si>
  <si>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</si>
  <si>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</si>
  <si>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</si>
  <si>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</si>
  <si>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</si>
  <si>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</si>
  <si>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</si>
  <si>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</si>
  <si>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</si>
  <si>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</si>
  <si>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</si>
  <si>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</si>
  <si>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</si>
  <si>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</si>
  <si>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</si>
  <si>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</si>
  <si>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</si>
  <si>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</si>
  <si>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</si>
  <si>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</si>
  <si>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</si>
  <si>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</si>
  <si>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</si>
  <si>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</si>
  <si>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</si>
  <si>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</si>
  <si>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</si>
  <si>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</si>
  <si>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</si>
  <si>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</si>
  <si>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</si>
  <si>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</si>
  <si>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</si>
  <si>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</si>
  <si>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</si>
  <si>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</si>
  <si>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</si>
  <si>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</si>
  <si>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</si>
  <si>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</si>
  <si>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</si>
  <si>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</si>
  <si>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</si>
  <si>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</si>
  <si>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</si>
  <si>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</si>
  <si>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</si>
  <si>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</si>
  <si>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</si>
  <si>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</si>
  <si>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</si>
  <si>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</si>
  <si>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</si>
  <si>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</si>
  <si>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</si>
  <si>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</si>
  <si>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</si>
  <si>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</si>
  <si>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</si>
  <si>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</si>
  <si>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</si>
  <si>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</si>
  <si>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</si>
  <si>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</si>
  <si>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</si>
  <si>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</si>
  <si>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</si>
  <si>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</si>
  <si>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</si>
  <si>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</si>
  <si>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</si>
  <si>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</si>
  <si>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</si>
  <si>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</si>
  <si>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</si>
  <si>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</si>
  <si>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</si>
  <si>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</si>
  <si>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</si>
  <si>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</si>
  <si>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</si>
  <si>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</si>
  <si>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</si>
  <si>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</si>
  <si>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</si>
  <si>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</si>
  <si>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</si>
  <si>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</si>
  <si>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</si>
  <si>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</si>
  <si>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</si>
  <si>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</si>
  <si>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</si>
  <si>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</si>
  <si>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</si>
  <si>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</si>
  <si>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</si>
  <si>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</si>
  <si>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</si>
  <si>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</si>
  <si>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</si>
  <si>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</si>
  <si>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</si>
  <si>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</si>
  <si>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</si>
  <si>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</si>
  <si>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</si>
  <si>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</si>
  <si>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</si>
  <si>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</si>
  <si>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</si>
  <si>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</si>
  <si>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</si>
  <si>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</si>
  <si>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</si>
  <si>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</si>
  <si>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</si>
  <si>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</si>
  <si>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</si>
  <si>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</si>
  <si>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</si>
  <si>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</si>
  <si>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</si>
  <si>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</si>
  <si>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</si>
  <si>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</si>
  <si>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</si>
  <si>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</si>
  <si>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</si>
  <si>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</si>
  <si>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</si>
  <si>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</si>
  <si>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</si>
  <si>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</si>
  <si>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</si>
  <si>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</si>
  <si>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</si>
  <si>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</si>
  <si>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</si>
  <si>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</si>
  <si>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</si>
  <si>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</si>
  <si>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</si>
  <si>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</si>
  <si>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</si>
  <si>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</si>
  <si>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假設上緣，上限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</si>
  <si>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</si>
  <si>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</si>
  <si>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</si>
  <si>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</si>
  <si>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</si>
  <si>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</si>
  <si>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</si>
  <si>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</si>
  <si>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</si>
  <si>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</si>
  <si>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</si>
  <si>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</si>
  <si>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</si>
  <si>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</si>
  <si>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</si>
  <si>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</si>
  <si>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</si>
  <si>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</si>
  <si>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</si>
  <si>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</si>
  <si>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</si>
  <si>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</si>
  <si>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</si>
  <si>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</si>
  <si>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</si>
  <si>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</si>
  <si>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</si>
  <si>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</si>
  <si>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</si>
  <si>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</si>
  <si>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</si>
  <si>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</si>
  <si>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</si>
  <si>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</si>
  <si>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</si>
  <si>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</si>
  <si>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</si>
  <si>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</si>
  <si>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</si>
  <si>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</si>
  <si>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</si>
  <si>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</si>
  <si>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</si>
  <si>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</si>
  <si>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v5.29 X14 (m)</t>
    </r>
    <r>
      <rPr>
        <sz val="10"/>
        <color rgb="FF000000"/>
        <rFont val="Noto Sans CJK SC"/>
        <family val="2"/>
      </rPr>
      <t xml:space="preserve">）</t>
    </r>
  </si>
  <si>
    <t xml:space="preserve">X14m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</si>
  <si>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</si>
  <si>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</si>
  <si>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</si>
  <si>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</si>
  <si>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</si>
  <si>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</si>
  <si>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</si>
  <si>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端提案，</t>
    </r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</si>
  <si>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</si>
  <si>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</si>
  <si>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</si>
  <si>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</si>
  <si>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</si>
  <si>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GM600</t>
  </si>
  <si>
    <r>
      <rPr>
        <sz val="10"/>
        <color rgb="FF000000"/>
        <rFont val="Noto Sans CJK SC"/>
        <family val="2"/>
      </rPr>
      <t xml:space="preserve">固定常數（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基準值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；不隨區間變動）</t>
    </r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</si>
  <si>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</si>
  <si>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</si>
  <si>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</si>
  <si>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</si>
  <si>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</si>
  <si>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</si>
  <si>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</si>
  <si>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</si>
  <si>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</si>
  <si>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</si>
  <si>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</si>
  <si>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</si>
  <si>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</si>
  <si>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</si>
  <si>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</si>
  <si>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</si>
  <si>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</si>
  <si>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</si>
  <si>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</si>
  <si>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</si>
  <si>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</si>
  <si>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</si>
  <si>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</si>
  <si>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</si>
  <si>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</si>
  <si>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</si>
  <si>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</si>
  <si>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</si>
  <si>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</si>
  <si>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</si>
  <si>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</si>
  <si>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</si>
  <si>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</si>
  <si>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</si>
  <si>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</si>
  <si>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</si>
  <si>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</si>
  <si>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</si>
  <si>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</si>
  <si>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</si>
  <si>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</si>
  <si>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</si>
  <si>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</si>
  <si>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</si>
  <si>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</si>
  <si>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</si>
  <si>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</si>
  <si>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</si>
  <si>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</si>
  <si>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</si>
  <si>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</si>
  <si>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</si>
  <si>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</si>
  <si>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</si>
  <si>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</si>
  <si>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</si>
  <si>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</si>
  <si>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</si>
  <si>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</si>
  <si>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</si>
  <si>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</si>
  <si>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</si>
  <si>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</si>
  <si>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</si>
  <si>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</si>
  <si>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</si>
  <si>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</si>
  <si>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</si>
  <si>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</si>
  <si>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</si>
  <si>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</si>
  <si>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</si>
  <si>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</si>
  <si>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</si>
  <si>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</si>
  <si>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</si>
  <si>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</si>
  <si>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</si>
  <si>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</si>
  <si>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</si>
  <si>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</si>
  <si>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</si>
  <si>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</si>
  <si>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</si>
  <si>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</si>
  <si>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</si>
  <si>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</si>
  <si>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</si>
  <si>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</si>
  <si>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</si>
  <si>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</si>
  <si>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</si>
  <si>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</si>
  <si>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</si>
  <si>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</si>
  <si>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</si>
  <si>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</si>
  <si>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</si>
  <si>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</si>
  <si>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</si>
  <si>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</si>
  <si>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</si>
  <si>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</si>
  <si>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</si>
  <si>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</si>
  <si>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</si>
  <si>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</si>
  <si>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</si>
  <si>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</si>
  <si>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</si>
  <si>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</si>
  <si>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</si>
  <si>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</si>
  <si>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</si>
  <si>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</si>
  <si>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</si>
  <si>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</si>
  <si>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</si>
  <si>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</si>
  <si>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</si>
  <si>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</si>
  <si>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</si>
  <si>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</si>
  <si>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</si>
  <si>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</si>
  <si>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</si>
  <si>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</si>
  <si>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</si>
  <si>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</si>
  <si>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</si>
  <si>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</si>
  <si>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</si>
  <si>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</si>
  <si>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</si>
  <si>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</si>
  <si>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</si>
  <si>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</si>
  <si>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</si>
  <si>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</si>
  <si>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</si>
  <si>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</si>
  <si>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</si>
  <si>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</si>
  <si>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</si>
  <si>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</si>
  <si>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</si>
  <si>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</si>
  <si>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</si>
  <si>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</si>
  <si>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</si>
  <si>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</si>
  <si>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</si>
  <si>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</si>
  <si>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</si>
  <si>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</si>
  <si>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</si>
  <si>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</si>
  <si>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</si>
  <si>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</si>
  <si>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</si>
  <si>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</si>
  <si>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</si>
  <si>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</si>
  <si>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</si>
  <si>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</si>
  <si>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</si>
  <si>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</si>
  <si>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</si>
  <si>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</si>
  <si>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</si>
  <si>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</si>
  <si>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</si>
  <si>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</si>
  <si>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</si>
  <si>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</si>
  <si>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</si>
  <si>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</si>
  <si>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</si>
  <si>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</si>
  <si>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</si>
  <si>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</si>
  <si>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</si>
  <si>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</si>
  <si>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</si>
  <si>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</si>
  <si>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</si>
  <si>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</si>
  <si>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</si>
  <si>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</si>
  <si>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</si>
  <si>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</si>
  <si>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</si>
  <si>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</si>
  <si>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</si>
  <si>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</si>
  <si>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</si>
  <si>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</si>
  <si>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</si>
  <si>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</si>
  <si>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</si>
  <si>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</si>
  <si>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</si>
  <si>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</si>
  <si>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</si>
  <si>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</si>
  <si>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</si>
  <si>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</si>
  <si>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</si>
  <si>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</si>
  <si>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</si>
  <si>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</si>
  <si>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</si>
  <si>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</si>
  <si>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</si>
  <si>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</si>
  <si>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</si>
  <si>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</si>
  <si>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</si>
  <si>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</si>
  <si>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</si>
  <si>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</si>
  <si>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</si>
  <si>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</si>
  <si>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</si>
  <si>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</si>
  <si>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</si>
  <si>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</si>
  <si>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</si>
  <si>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</si>
  <si>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</si>
  <si>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</si>
  <si>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</si>
  <si>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</si>
  <si>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</si>
  <si>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</si>
  <si>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</si>
  <si>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</si>
  <si>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</si>
  <si>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</si>
  <si>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</si>
  <si>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</si>
  <si>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</si>
  <si>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</si>
  <si>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</si>
  <si>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</si>
  <si>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</si>
  <si>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</si>
  <si>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</si>
  <si>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</si>
  <si>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</si>
  <si>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</si>
  <si>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</si>
  <si>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</si>
  <si>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</si>
  <si>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</si>
  <si>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</si>
  <si>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</si>
  <si>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</si>
  <si>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</si>
  <si>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</si>
  <si>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</si>
  <si>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</si>
  <si>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</si>
  <si>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</si>
  <si>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</si>
  <si>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</si>
  <si>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</si>
  <si>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</si>
  <si>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</si>
  <si>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</si>
  <si>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</si>
  <si>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</si>
  <si>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</si>
  <si>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</si>
  <si>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</si>
  <si>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</si>
  <si>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</si>
  <si>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</si>
  <si>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</si>
  <si>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</si>
  <si>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</si>
  <si>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</si>
  <si>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</si>
  <si>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</si>
  <si>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</si>
  <si>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</si>
  <si>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</si>
  <si>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</si>
  <si>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</si>
  <si>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</si>
  <si>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</si>
  <si>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</si>
  <si>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</si>
  <si>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</si>
  <si>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</si>
  <si>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</si>
  <si>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</si>
  <si>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</si>
  <si>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</si>
  <si>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</si>
  <si>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</si>
  <si>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</si>
  <si>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</si>
  <si>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</si>
  <si>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</si>
  <si>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</si>
  <si>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</si>
  <si>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</si>
  <si>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</si>
  <si>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</si>
  <si>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</si>
  <si>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</si>
  <si>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</si>
  <si>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</si>
  <si>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</si>
  <si>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</si>
  <si>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</si>
  <si>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</si>
  <si>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</si>
  <si>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</si>
  <si>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</si>
  <si>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</si>
  <si>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</si>
  <si>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</si>
  <si>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</si>
  <si>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</si>
  <si>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</si>
  <si>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</si>
  <si>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</si>
  <si>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</si>
  <si>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</si>
  <si>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</si>
  <si>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</si>
  <si>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</si>
  <si>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</si>
  <si>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</si>
  <si>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</si>
  <si>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</si>
  <si>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</si>
  <si>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</si>
  <si>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</si>
  <si>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</si>
  <si>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</si>
  <si>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</si>
  <si>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</si>
  <si>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</si>
  <si>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</si>
  <si>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</si>
  <si>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</si>
  <si>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</si>
  <si>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</si>
  <si>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</si>
  <si>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</si>
  <si>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</si>
  <si>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</si>
  <si>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</si>
  <si>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</si>
  <si>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</si>
  <si>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</si>
  <si>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</si>
  <si>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</si>
  <si>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</si>
  <si>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</si>
  <si>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</si>
  <si>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</si>
  <si>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</si>
  <si>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</si>
  <si>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</si>
  <si>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</si>
  <si>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</si>
  <si>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</si>
  <si>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</si>
  <si>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</si>
  <si>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</si>
  <si>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</si>
  <si>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</si>
  <si>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</si>
  <si>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</si>
  <si>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</si>
  <si>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</si>
  <si>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</si>
  <si>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</si>
  <si>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</si>
  <si>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</si>
  <si>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</si>
  <si>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</si>
  <si>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</si>
  <si>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</si>
  <si>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</si>
  <si>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</si>
  <si>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</si>
  <si>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</si>
  <si>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</si>
  <si>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</si>
  <si>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</si>
  <si>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</si>
  <si>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</si>
  <si>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</si>
  <si>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</si>
  <si>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</si>
  <si>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</si>
  <si>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</si>
  <si>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</si>
  <si>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</si>
  <si>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</si>
  <si>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</si>
  <si>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</si>
  <si>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</si>
  <si>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</si>
  <si>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</si>
  <si>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</si>
  <si>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</si>
  <si>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</si>
  <si>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</si>
  <si>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</si>
  <si>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</si>
  <si>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</si>
  <si>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</si>
  <si>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</si>
  <si>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</si>
  <si>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</si>
  <si>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</si>
  <si>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</si>
  <si>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</si>
  <si>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</si>
  <si>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</si>
  <si>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</si>
  <si>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</si>
  <si>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</si>
  <si>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</si>
  <si>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</si>
  <si>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</si>
  <si>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</si>
  <si>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</si>
  <si>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</si>
  <si>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</si>
  <si>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</si>
  <si>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</si>
  <si>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</si>
  <si>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</si>
  <si>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</si>
  <si>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</si>
  <si>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</si>
  <si>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</si>
  <si>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</t>
    </r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</si>
  <si>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</si>
  <si>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</si>
  <si>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r>
      <rPr>
        <sz val="10"/>
        <color rgb="FF000000"/>
        <rFont val="Noto Sans CJK SC"/>
        <family val="2"/>
      </rPr>
      <t xml:space="preserve">四層瀑布為正式口徑：</t>
    </r>
    <r>
      <rPr>
        <sz val="10"/>
        <color rgb="FF000000"/>
        <rFont val="Arial"/>
        <family val="0"/>
        <charset val="1"/>
      </rPr>
      <t xml:space="preserve">100% → × IF_Util → × CTL_ProdDerate → × L × m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節列不動，新增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節把同一指標的四層並列（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），供下游一次取齊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</si>
  <si>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</si>
  <si>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</si>
  <si>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</si>
  <si>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</si>
  <si>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</si>
  <si>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</si>
  <si>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</si>
  <si>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（每世代，＝</t>
    </r>
    <r>
      <rPr>
        <sz val="10"/>
        <color rgb="FF000000"/>
        <rFont val="Arial"/>
        <family val="0"/>
        <charset val="1"/>
      </rPr>
      <t xml:space="preserve">L1_HoldEconGW_* ÷ 1000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（相鄰世代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總產出比，附低高）；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</si>
  <si>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</si>
  <si>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</si>
  <si>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</si>
  <si>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</si>
  <si>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</si>
  <si>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</si>
  <si>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</si>
  <si>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</si>
  <si>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</si>
  <si>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</si>
  <si>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</si>
  <si>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SRC_DEM_006 ÷ L1_Ans3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；兩列進輸出契約，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＝「下游校準用，不得當產能」</t>
    </r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</si>
  <si>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</si>
  <si>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</si>
  <si>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</si>
  <si>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篩出「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敏感度分段＝高」且類別為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的格（</t>
    </r>
    <r>
      <rPr>
        <sz val="10"/>
        <color rgb="FF000000"/>
        <rFont val="Arial"/>
        <family val="0"/>
        <charset val="1"/>
      </rPr>
      <t xml:space="preserve">engine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FILTER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靜態展開，各欄即時連結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），加反轉門檻欄（本版空白）</t>
    </r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</si>
  <si>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</si>
  <si>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</si>
  <si>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</si>
  <si>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</si>
  <si>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</si>
  <si>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</si>
  <si>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</si>
  <si>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r>
      <rPr>
        <sz val="10"/>
        <color rgb="FF000000"/>
        <rFont val="Noto Sans CJK SC"/>
        <family val="2"/>
      </rPr>
      <t xml:space="preserve">屬下游模型事項（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現行）：只在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供下游引用，不在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內處理</t>
    </r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</si>
  <si>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</si>
  <si>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</si>
  <si>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SRC_DEM_004 </t>
    </r>
    <r>
      <rPr>
        <sz val="10"/>
        <color rgb="FF000000"/>
        <rFont val="Noto Sans CJK SC"/>
        <family val="2"/>
      </rPr>
      <t xml:space="preserve">取代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</si>
  <si>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帳單，全年推估）」＝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、低 </t>
    </r>
    <r>
      <rPr>
        <sz val="10"/>
        <color rgb="FF000000"/>
        <rFont val="Arial"/>
        <family val="0"/>
        <charset val="1"/>
      </rPr>
      <t xml:space="preserve">12.3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13.0</t>
    </r>
    <r>
      <rPr>
        <sz val="10"/>
        <color rgb="FF000000"/>
        <rFont val="Noto Sans CJK SC"/>
        <family val="2"/>
      </rPr>
      <t xml:space="preserve">（等級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、利害關係方、二手、</t>
    </r>
    <r>
      <rPr>
        <sz val="10"/>
        <color rgb="FF000000"/>
        <rFont val="Arial"/>
        <family val="0"/>
        <charset val="1"/>
      </rPr>
      <t xml:space="preserve">Evidence E259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、取代者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擁有的推論支出公式（</t>
    </r>
    <r>
      <rPr>
        <sz val="10"/>
        <color rgb="FF000000"/>
        <rFont val="Arial"/>
        <family val="0"/>
        <charset val="1"/>
      </rPr>
      <t xml:space="preserve">Alloc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外部欄）改連 </t>
    </r>
    <r>
      <rPr>
        <sz val="10"/>
        <color rgb="FF000000"/>
        <rFont val="Arial"/>
        <family val="0"/>
        <charset val="1"/>
      </rPr>
      <t xml:space="preserve">018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</si>
  <si>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</si>
  <si>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</si>
  <si>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</si>
  <si>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</si>
  <si>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</si>
  <si>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</si>
  <si>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</si>
  <si>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</si>
  <si>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</si>
  <si>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</si>
  <si>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</si>
  <si>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</si>
  <si>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(i)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</si>
  <si>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</si>
  <si>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</si>
  <si>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</si>
  <si>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</si>
  <si>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</si>
  <si>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</si>
  <si>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</si>
  <si>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</si>
  <si>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</si>
  <si>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</si>
  <si>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</si>
  <si>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</si>
  <si>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</si>
  <si>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</si>
  <si>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</si>
  <si>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</si>
  <si>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</si>
  <si>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</si>
  <si>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</si>
  <si>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</si>
  <si>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</si>
  <si>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</si>
  <si>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</si>
  <si>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</si>
  <si>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</si>
  <si>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</si>
  <si>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</si>
  <si>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</si>
  <si>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</si>
  <si>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</si>
  <si>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</si>
  <si>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</si>
  <si>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</si>
  <si>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</si>
  <si>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</si>
  <si>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</si>
  <si>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</si>
  <si>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</si>
  <si>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</si>
  <si>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</si>
  <si>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</si>
  <si>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</si>
  <si>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</si>
  <si>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</si>
  <si>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</si>
  <si>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</si>
  <si>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</si>
  <si>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</si>
  <si>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</si>
  <si>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</si>
  <si>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</si>
  <si>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</si>
  <si>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</si>
  <si>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</si>
  <si>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</si>
  <si>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</si>
  <si>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</si>
  <si>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</si>
  <si>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</si>
  <si>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</si>
  <si>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</si>
  <si>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</si>
  <si>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</si>
  <si>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</si>
  <si>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</si>
  <si>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</si>
  <si>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</si>
  <si>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</si>
  <si>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</si>
  <si>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</si>
  <si>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</si>
  <si>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</si>
  <si>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</si>
  <si>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</si>
  <si>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</si>
  <si>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</si>
  <si>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</si>
  <si>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</si>
  <si>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</si>
  <si>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</si>
  <si>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</si>
  <si>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</si>
  <si>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</si>
  <si>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</si>
  <si>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</si>
  <si>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</si>
  <si>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</si>
  <si>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</si>
  <si>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</si>
  <si>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</si>
  <si>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</si>
  <si>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</si>
  <si>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</si>
  <si>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</si>
  <si>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</si>
  <si>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</si>
  <si>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</si>
  <si>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</si>
  <si>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</si>
  <si>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</si>
  <si>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</si>
  <si>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</si>
  <si>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</si>
  <si>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</si>
  <si>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</si>
  <si>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</si>
  <si>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</si>
  <si>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</si>
  <si>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</si>
  <si>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</si>
  <si>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</si>
  <si>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</si>
  <si>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</si>
  <si>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</si>
  <si>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</si>
  <si>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</si>
  <si>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</si>
  <si>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</si>
  <si>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</si>
  <si>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</si>
  <si>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</si>
  <si>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</si>
  <si>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</si>
  <si>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</si>
  <si>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</si>
  <si>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</si>
  <si>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</si>
  <si>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</si>
  <si>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</si>
  <si>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</si>
  <si>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</si>
  <si>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</si>
  <si>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</si>
  <si>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</si>
  <si>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</si>
  <si>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</si>
  <si>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</si>
  <si>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</si>
  <si>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</si>
  <si>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</si>
  <si>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</si>
  <si>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</si>
  <si>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</si>
  <si>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</si>
  <si>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</si>
  <si>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</si>
  <si>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</si>
  <si>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</si>
  <si>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</si>
  <si>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</si>
  <si>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</si>
  <si>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</si>
  <si>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</si>
  <si>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</si>
  <si>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</si>
  <si>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</si>
  <si>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</si>
  <si>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</si>
  <si>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</si>
  <si>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</si>
  <si>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</si>
  <si>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</si>
  <si>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</si>
  <si>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</si>
  <si>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</si>
  <si>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</si>
  <si>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</si>
  <si>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</si>
  <si>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</si>
  <si>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</si>
  <si>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</si>
  <si>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</si>
  <si>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</si>
  <si>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</si>
  <si>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</si>
  <si>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</si>
  <si>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</si>
  <si>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</si>
  <si>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</si>
  <si>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</si>
  <si>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</si>
  <si>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</si>
  <si>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</si>
  <si>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</si>
  <si>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</si>
  <si>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</si>
  <si>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</si>
  <si>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</si>
  <si>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</si>
  <si>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</si>
  <si>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</si>
  <si>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</si>
  <si>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</si>
  <si>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</si>
  <si>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</si>
  <si>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</si>
  <si>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</si>
  <si>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</si>
  <si>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</si>
  <si>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</si>
  <si>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</si>
  <si>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</si>
  <si>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</si>
  <si>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</si>
  <si>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</si>
  <si>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</si>
  <si>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</si>
  <si>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</si>
  <si>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</si>
  <si>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</si>
  <si>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</si>
  <si>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</si>
  <si>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</si>
  <si>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</si>
  <si>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</si>
  <si>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</si>
  <si>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</si>
  <si>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</si>
  <si>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</si>
  <si>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</si>
  <si>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</si>
  <si>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</si>
  <si>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</si>
  <si>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</si>
  <si>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</si>
  <si>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</si>
  <si>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</si>
  <si>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</si>
  <si>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</si>
  <si>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</si>
  <si>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</si>
  <si>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</si>
  <si>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</si>
  <si>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</si>
  <si>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</si>
  <si>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</si>
  <si>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</si>
  <si>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</si>
  <si>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</si>
  <si>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</si>
  <si>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</si>
  <si>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</si>
  <si>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</si>
  <si>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</si>
  <si>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</si>
  <si>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</si>
  <si>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</si>
  <si>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</si>
  <si>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</si>
  <si>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</si>
  <si>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</si>
  <si>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</si>
  <si>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</si>
  <si>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</si>
  <si>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</si>
  <si>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</si>
  <si>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</si>
  <si>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</si>
  <si>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</si>
  <si>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</si>
  <si>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</si>
  <si>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</si>
  <si>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</si>
  <si>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</si>
  <si>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</si>
  <si>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</si>
  <si>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</si>
  <si>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</si>
  <si>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</si>
  <si>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</si>
  <si>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</si>
  <si>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</si>
  <si>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</si>
  <si>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</si>
  <si>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</si>
  <si>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</si>
  <si>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</si>
  <si>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</si>
  <si>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</si>
  <si>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</si>
  <si>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</si>
  <si>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</si>
  <si>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</si>
  <si>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</si>
  <si>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</si>
  <si>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</si>
  <si>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</si>
  <si>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</si>
  <si>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</si>
  <si>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</si>
  <si>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</si>
  <si>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</si>
  <si>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</si>
  <si>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</si>
  <si>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</si>
  <si>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</si>
  <si>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</si>
  <si>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</si>
  <si>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</si>
  <si>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</si>
  <si>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</si>
  <si>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</si>
  <si>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</si>
  <si>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</si>
  <si>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</si>
  <si>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</si>
  <si>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</si>
  <si>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</si>
  <si>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</si>
  <si>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</si>
  <si>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</si>
  <si>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</si>
  <si>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</si>
  <si>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</si>
  <si>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</si>
  <si>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</si>
  <si>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</si>
  <si>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</si>
  <si>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</si>
  <si>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</si>
  <si>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</si>
  <si>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</si>
  <si>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</si>
  <si>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</si>
  <si>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</si>
  <si>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</si>
  <si>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</si>
  <si>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</si>
  <si>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</si>
  <si>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</si>
  <si>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</si>
  <si>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</si>
  <si>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</si>
  <si>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</si>
  <si>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</si>
  <si>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</si>
  <si>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</si>
  <si>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</si>
  <si>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</si>
  <si>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</si>
  <si>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</si>
  <si>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</si>
  <si>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</si>
  <si>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</si>
  <si>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</si>
  <si>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</si>
  <si>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</si>
  <si>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</si>
  <si>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</si>
  <si>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</si>
  <si>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</si>
  <si>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</si>
  <si>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</si>
  <si>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</si>
  <si>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</si>
  <si>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</si>
  <si>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</si>
  <si>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</si>
  <si>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</si>
  <si>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</si>
  <si>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</si>
  <si>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</si>
  <si>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</si>
  <si>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</si>
  <si>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</si>
  <si>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</si>
  <si>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</si>
  <si>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</si>
  <si>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</si>
  <si>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</si>
  <si>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</si>
  <si>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</si>
  <si>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</si>
  <si>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</si>
  <si>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</si>
  <si>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</si>
  <si>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</si>
  <si>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</si>
  <si>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</si>
  <si>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</si>
  <si>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</si>
  <si>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</si>
  <si>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</si>
  <si>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</si>
  <si>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</si>
  <si>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</si>
  <si>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</si>
  <si>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</si>
  <si>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</si>
  <si>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</si>
  <si>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</si>
  <si>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</si>
  <si>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</si>
  <si>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</si>
  <si>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</si>
  <si>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</si>
  <si>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</si>
  <si>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</si>
  <si>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</si>
  <si>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</si>
  <si>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</si>
  <si>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</si>
  <si>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</si>
  <si>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</si>
  <si>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</si>
  <si>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</si>
  <si>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</si>
  <si>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</si>
  <si>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</si>
  <si>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</si>
  <si>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</si>
  <si>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</si>
  <si>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</si>
  <si>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</si>
  <si>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</si>
  <si>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</si>
  <si>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</si>
  <si>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</si>
  <si>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</si>
  <si>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</si>
  <si>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</si>
  <si>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</si>
  <si>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</si>
  <si>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</si>
  <si>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</si>
  <si>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</si>
  <si>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</si>
  <si>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</si>
  <si>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</si>
  <si>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</si>
  <si>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</si>
  <si>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</si>
  <si>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</si>
  <si>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</si>
  <si>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</si>
  <si>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</si>
  <si>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</si>
  <si>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</si>
  <si>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</si>
  <si>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</si>
  <si>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</si>
  <si>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</si>
  <si>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</si>
  <si>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</si>
  <si>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</si>
  <si>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</si>
  <si>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</si>
  <si>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</si>
  <si>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</si>
  <si>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</si>
  <si>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</si>
  <si>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</si>
  <si>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</si>
  <si>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</si>
  <si>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</si>
  <si>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</si>
  <si>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</si>
  <si>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</si>
  <si>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</si>
  <si>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</si>
  <si>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</si>
  <si>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</si>
  <si>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</si>
  <si>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</si>
  <si>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</si>
  <si>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</si>
  <si>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</si>
  <si>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</si>
  <si>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</si>
  <si>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</si>
  <si>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</si>
  <si>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</si>
  <si>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</si>
  <si>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</si>
  <si>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</si>
  <si>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</si>
  <si>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</si>
  <si>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</si>
  <si>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</si>
  <si>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</si>
  <si>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</si>
  <si>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</si>
  <si>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</si>
  <si>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</si>
  <si>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</si>
  <si>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</si>
  <si>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</si>
  <si>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</si>
  <si>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</si>
  <si>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</si>
  <si>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</si>
  <si>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</si>
  <si>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</si>
  <si>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</si>
  <si>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</si>
  <si>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</si>
  <si>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</si>
  <si>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</si>
  <si>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</si>
  <si>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</si>
  <si>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</si>
  <si>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</si>
  <si>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</si>
  <si>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</si>
  <si>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</si>
  <si>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</si>
  <si>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</si>
  <si>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</si>
  <si>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</si>
  <si>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</si>
  <si>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</si>
  <si>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</si>
  <si>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</si>
  <si>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</si>
  <si>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</si>
  <si>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</si>
  <si>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</si>
  <si>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</si>
  <si>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</si>
  <si>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</si>
  <si>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</si>
  <si>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</si>
  <si>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</si>
  <si>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</si>
  <si>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</si>
  <si>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</si>
  <si>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</si>
  <si>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</si>
  <si>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</si>
  <si>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</si>
  <si>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</si>
  <si>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</si>
  <si>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</si>
  <si>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</si>
  <si>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</si>
  <si>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</si>
  <si>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</si>
  <si>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</si>
  <si>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</si>
  <si>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</si>
  <si>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</si>
  <si>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</si>
  <si>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</si>
  <si>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</si>
  <si>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</si>
  <si>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</si>
  <si>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</si>
  <si>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</si>
  <si>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</si>
  <si>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</si>
  <si>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</si>
  <si>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</si>
  <si>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</si>
  <si>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</si>
  <si>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</si>
  <si>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</si>
  <si>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</si>
  <si>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</si>
  <si>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</si>
  <si>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</si>
  <si>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</si>
  <si>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</si>
  <si>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</si>
  <si>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</si>
  <si>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</si>
  <si>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</si>
  <si>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</si>
  <si>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</si>
  <si>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</si>
  <si>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</si>
  <si>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</si>
  <si>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</si>
  <si>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</si>
  <si>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</si>
  <si>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</si>
  <si>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</si>
  <si>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</si>
  <si>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</si>
  <si>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</si>
  <si>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</si>
  <si>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</si>
  <si>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</si>
  <si>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</si>
  <si>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</si>
  <si>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</si>
  <si>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</si>
  <si>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</si>
  <si>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</si>
  <si>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</si>
  <si>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</si>
  <si>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</si>
  <si>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</si>
  <si>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</si>
  <si>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</si>
  <si>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</si>
  <si>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</si>
  <si>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</si>
  <si>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</si>
  <si>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</si>
  <si>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</si>
  <si>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</si>
  <si>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</si>
  <si>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</si>
  <si>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</si>
  <si>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</si>
  <si>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</si>
  <si>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</si>
  <si>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</si>
  <si>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</si>
  <si>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</si>
  <si>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</si>
  <si>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</si>
  <si>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</si>
  <si>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</si>
  <si>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</si>
  <si>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</si>
  <si>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</si>
  <si>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</si>
  <si>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</si>
  <si>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</si>
  <si>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</si>
  <si>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</si>
  <si>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</si>
  <si>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</si>
  <si>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</si>
  <si>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</si>
  <si>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</si>
  <si>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</si>
  <si>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</si>
  <si>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</si>
  <si>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</si>
  <si>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</si>
  <si>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</si>
  <si>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</si>
  <si>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</si>
  <si>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</si>
  <si>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</si>
  <si>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</si>
  <si>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</si>
  <si>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</si>
  <si>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</si>
  <si>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</si>
  <si>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</si>
  <si>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</si>
  <si>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</si>
  <si>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</si>
  <si>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</si>
  <si>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</si>
  <si>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</si>
  <si>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</si>
  <si>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</si>
  <si>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</si>
  <si>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</si>
  <si>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</si>
  <si>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</si>
  <si>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</si>
  <si>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</si>
  <si>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</si>
  <si>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</si>
  <si>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</si>
  <si>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</si>
  <si>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</si>
  <si>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</si>
  <si>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</si>
  <si>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</si>
  <si>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</si>
  <si>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</si>
  <si>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</si>
  <si>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</si>
  <si>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</si>
  <si>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</si>
  <si>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</si>
  <si>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</si>
  <si>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</si>
  <si>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</si>
  <si>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</si>
  <si>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</si>
  <si>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</si>
  <si>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</si>
  <si>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</si>
  <si>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</si>
  <si>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</si>
  <si>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</si>
  <si>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</si>
  <si>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</si>
  <si>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</si>
  <si>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</si>
  <si>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</si>
  <si>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</si>
  <si>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</si>
  <si>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</si>
  <si>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</si>
  <si>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</si>
  <si>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</si>
  <si>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</si>
  <si>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</si>
  <si>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</si>
  <si>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</si>
  <si>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</si>
  <si>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</si>
  <si>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</si>
  <si>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</si>
  <si>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</si>
  <si>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</si>
  <si>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</si>
  <si>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</si>
  <si>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</si>
  <si>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</si>
  <si>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</si>
  <si>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</si>
  <si>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</si>
  <si>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</si>
  <si>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</si>
  <si>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</si>
  <si>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</si>
  <si>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</si>
  <si>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</si>
  <si>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</si>
  <si>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</si>
  <si>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</si>
  <si>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</si>
  <si>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</si>
  <si>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</si>
  <si>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</si>
  <si>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</si>
  <si>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</si>
  <si>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</si>
  <si>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</si>
  <si>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</si>
  <si>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</si>
  <si>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</si>
  <si>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</si>
  <si>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</si>
  <si>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</si>
  <si>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</si>
  <si>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</si>
  <si>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</si>
  <si>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</si>
  <si>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</si>
  <si>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</si>
  <si>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</si>
  <si>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</si>
  <si>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</si>
  <si>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</si>
  <si>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</si>
  <si>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</si>
  <si>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</si>
  <si>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</si>
  <si>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</si>
  <si>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</si>
  <si>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</si>
  <si>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</si>
  <si>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</si>
  <si>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</si>
  <si>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</si>
  <si>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</si>
  <si>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</si>
  <si>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</si>
  <si>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</si>
  <si>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</si>
  <si>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</si>
  <si>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</si>
  <si>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</si>
  <si>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</si>
  <si>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</si>
  <si>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</si>
  <si>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</si>
  <si>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</si>
  <si>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</si>
  <si>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</si>
  <si>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</si>
  <si>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</si>
  <si>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</si>
  <si>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</si>
  <si>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</si>
  <si>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</si>
  <si>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</si>
  <si>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</si>
  <si>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</si>
  <si>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</si>
  <si>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</si>
  <si>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</si>
  <si>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</si>
  <si>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</si>
  <si>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</si>
  <si>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</si>
  <si>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</si>
  <si>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</si>
  <si>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</si>
  <si>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</si>
  <si>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</si>
  <si>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</si>
  <si>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</si>
  <si>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</si>
  <si>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</si>
  <si>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</si>
  <si>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</si>
  <si>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</si>
  <si>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</si>
  <si>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</si>
  <si>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</si>
  <si>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</si>
  <si>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</si>
  <si>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</si>
  <si>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</si>
  <si>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</si>
  <si>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</si>
  <si>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</si>
  <si>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</si>
  <si>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</si>
  <si>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</si>
  <si>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</si>
  <si>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</si>
  <si>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</si>
  <si>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</si>
  <si>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</si>
  <si>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</si>
  <si>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</si>
  <si>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</si>
  <si>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</si>
  <si>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</si>
  <si>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</si>
  <si>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</si>
  <si>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</si>
  <si>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</si>
  <si>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</si>
  <si>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</si>
  <si>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</si>
  <si>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</si>
  <si>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</si>
  <si>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</si>
  <si>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</si>
  <si>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</si>
  <si>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</si>
  <si>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</si>
  <si>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</si>
  <si>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</si>
  <si>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</si>
  <si>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</si>
  <si>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</si>
  <si>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</si>
  <si>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</si>
  <si>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</si>
  <si>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</si>
  <si>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</si>
  <si>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</si>
  <si>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</si>
  <si>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</si>
  <si>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</si>
  <si>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</si>
  <si>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</si>
  <si>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</si>
  <si>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</si>
  <si>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</si>
  <si>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</si>
  <si>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</si>
  <si>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</si>
  <si>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</si>
  <si>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</si>
  <si>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</si>
  <si>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</si>
  <si>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</si>
  <si>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</si>
  <si>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</si>
  <si>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</si>
  <si>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</si>
  <si>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</si>
  <si>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</si>
  <si>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</si>
  <si>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</si>
  <si>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</si>
  <si>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</si>
  <si>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</si>
  <si>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</si>
  <si>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</si>
  <si>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</si>
  <si>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</si>
  <si>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</si>
  <si>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</si>
  <si>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</si>
  <si>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</si>
  <si>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</si>
  <si>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</si>
  <si>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</si>
  <si>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</si>
  <si>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</si>
  <si>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</si>
  <si>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</si>
  <si>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</si>
  <si>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</si>
  <si>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</si>
  <si>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</si>
  <si>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</si>
  <si>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</si>
  <si>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</si>
  <si>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</si>
  <si>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</si>
  <si>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</si>
  <si>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</si>
  <si>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</si>
  <si>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</si>
  <si>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</si>
  <si>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</si>
  <si>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</si>
  <si>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</si>
  <si>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</si>
  <si>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</si>
  <si>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</si>
  <si>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</si>
  <si>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</si>
  <si>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</si>
  <si>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</si>
  <si>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</si>
  <si>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</si>
  <si>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</si>
  <si>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</si>
  <si>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</si>
  <si>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</si>
  <si>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</si>
  <si>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</si>
  <si>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</si>
  <si>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</si>
  <si>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</si>
  <si>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</si>
  <si>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</si>
  <si>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</si>
  <si>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</si>
  <si>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</si>
  <si>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</si>
  <si>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</si>
  <si>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</si>
  <si>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</si>
  <si>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</si>
  <si>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</si>
  <si>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</si>
  <si>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</si>
  <si>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</si>
  <si>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</si>
  <si>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</si>
  <si>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</si>
  <si>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</si>
  <si>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</si>
  <si>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</si>
  <si>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</si>
  <si>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</si>
  <si>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</si>
  <si>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</si>
  <si>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</si>
  <si>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</si>
  <si>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</si>
  <si>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</si>
  <si>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</si>
  <si>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</si>
  <si>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</si>
  <si>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</si>
  <si>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</si>
  <si>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</si>
  <si>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</si>
  <si>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</si>
  <si>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</si>
  <si>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</si>
  <si>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</si>
  <si>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</si>
  <si>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</si>
  <si>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</si>
  <si>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</si>
  <si>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</si>
  <si>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</si>
  <si>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</si>
  <si>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</si>
  <si>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</si>
  <si>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</si>
  <si>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</si>
  <si>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</si>
  <si>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</si>
  <si>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</si>
  <si>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</si>
  <si>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</si>
  <si>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</si>
  <si>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</si>
  <si>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</si>
  <si>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</si>
  <si>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</si>
  <si>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</si>
  <si>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</si>
  <si>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</si>
  <si>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</si>
  <si>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</si>
  <si>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</si>
  <si>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</si>
  <si>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</si>
  <si>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</si>
  <si>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</si>
  <si>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</si>
  <si>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</si>
  <si>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</si>
  <si>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</si>
  <si>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</si>
  <si>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</si>
  <si>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</si>
  <si>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</si>
  <si>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r>
      <rPr>
        <b val="true"/>
        <sz val="10"/>
        <rFont val="Noto Sans CJK SC"/>
        <family val="2"/>
      </rPr>
      <t xml:space="preserve">計價單位（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GPU-hr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MW-year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</si>
  <si>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</si>
  <si>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</si>
  <si>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</si>
  <si>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</si>
  <si>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</si>
  <si>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</si>
  <si>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</si>
  <si>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</si>
  <si>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</si>
  <si>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</si>
  <si>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</si>
  <si>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</si>
  <si>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</si>
  <si>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</si>
  <si>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</si>
  <si>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</si>
  <si>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</si>
  <si>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</si>
  <si>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</si>
  <si>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</si>
  <si>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</si>
  <si>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</si>
  <si>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</si>
  <si>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</si>
  <si>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</si>
  <si>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</si>
  <si>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</si>
  <si>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</si>
  <si>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</si>
  <si>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</si>
  <si>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</si>
  <si>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</si>
  <si>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</si>
  <si>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</si>
  <si>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</si>
  <si>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</si>
  <si>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</si>
  <si>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</si>
  <si>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</si>
  <si>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</si>
  <si>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</si>
  <si>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</si>
  <si>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</si>
  <si>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</si>
  <si>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</si>
  <si>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</si>
  <si>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</si>
  <si>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</si>
  <si>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</si>
  <si>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</si>
  <si>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</si>
  <si>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</si>
  <si>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</si>
  <si>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</si>
  <si>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</si>
  <si>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</si>
  <si>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</si>
  <si>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</si>
  <si>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</si>
  <si>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</si>
  <si>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</si>
  <si>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</si>
  <si>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</si>
  <si>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</si>
  <si>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</si>
  <si>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</si>
  <si>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</si>
  <si>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</si>
  <si>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</si>
  <si>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</si>
  <si>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</si>
  <si>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</si>
  <si>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</si>
  <si>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</si>
  <si>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</si>
  <si>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</si>
  <si>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</si>
  <si>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</si>
  <si>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</si>
  <si>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</si>
  <si>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</si>
  <si>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</si>
  <si>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</si>
  <si>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</si>
  <si>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</si>
  <si>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</si>
  <si>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</si>
  <si>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</si>
  <si>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</si>
  <si>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</si>
  <si>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</si>
  <si>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</si>
  <si>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</si>
  <si>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</si>
  <si>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</si>
  <si>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</si>
  <si>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</si>
  <si>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</si>
  <si>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</si>
  <si>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</si>
  <si>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</si>
  <si>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</si>
  <si>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</si>
  <si>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</si>
  <si>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</si>
  <si>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</si>
  <si>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</si>
  <si>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</si>
  <si>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</si>
  <si>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</si>
  <si>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</si>
  <si>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</si>
  <si>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</si>
  <si>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</si>
  <si>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</si>
  <si>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</si>
  <si>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</si>
  <si>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</si>
  <si>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</si>
  <si>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</si>
  <si>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</si>
  <si>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</si>
  <si>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</si>
  <si>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</si>
  <si>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</si>
  <si>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</si>
  <si>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</si>
  <si>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</si>
  <si>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</si>
  <si>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</si>
  <si>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</si>
  <si>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</si>
  <si>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</si>
  <si>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</si>
  <si>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</si>
  <si>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</si>
  <si>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</si>
  <si>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</si>
  <si>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</si>
  <si>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</si>
  <si>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</si>
  <si>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</si>
  <si>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</si>
  <si>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</si>
  <si>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</si>
  <si>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</si>
  <si>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</si>
  <si>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</si>
  <si>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</si>
  <si>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</si>
  <si>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</si>
  <si>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</si>
  <si>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</si>
  <si>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</si>
  <si>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</si>
  <si>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</si>
  <si>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</si>
  <si>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</si>
  <si>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</si>
  <si>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</si>
  <si>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</si>
  <si>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</si>
  <si>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</si>
  <si>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</si>
  <si>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</si>
  <si>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</si>
  <si>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</si>
  <si>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</si>
  <si>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</si>
  <si>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</si>
  <si>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</si>
  <si>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</si>
  <si>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</si>
  <si>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</si>
  <si>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</si>
  <si>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</si>
  <si>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</si>
  <si>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</si>
  <si>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</si>
  <si>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</si>
  <si>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</si>
  <si>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</si>
  <si>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</si>
  <si>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</si>
  <si>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</si>
  <si>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</si>
  <si>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</si>
  <si>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</si>
  <si>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</si>
  <si>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</si>
  <si>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</si>
  <si>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</si>
  <si>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</si>
  <si>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</si>
  <si>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</si>
  <si>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</si>
  <si>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</si>
  <si>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</si>
  <si>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</si>
  <si>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</si>
  <si>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</si>
  <si>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</si>
  <si>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</si>
  <si>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</si>
  <si>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</si>
  <si>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</si>
  <si>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</si>
  <si>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</si>
  <si>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</si>
  <si>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</si>
  <si>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</si>
  <si>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</si>
  <si>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</si>
  <si>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</si>
  <si>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</si>
  <si>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</si>
  <si>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</si>
  <si>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</si>
  <si>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</si>
  <si>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</si>
  <si>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</si>
  <si>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</si>
  <si>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</si>
  <si>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</si>
  <si>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</si>
  <si>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</si>
  <si>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</si>
  <si>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</si>
  <si>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</si>
  <si>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</si>
  <si>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</si>
  <si>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</si>
  <si>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</si>
  <si>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</si>
  <si>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</si>
  <si>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</si>
  <si>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</si>
  <si>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</si>
  <si>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</si>
  <si>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</si>
  <si>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</si>
  <si>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</si>
  <si>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</si>
  <si>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</si>
  <si>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</si>
  <si>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</si>
  <si>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</si>
  <si>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</si>
  <si>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</si>
  <si>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</si>
  <si>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</si>
  <si>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</si>
  <si>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</si>
  <si>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</si>
  <si>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</si>
  <si>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</si>
  <si>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</si>
  <si>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</si>
  <si>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</si>
  <si>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</si>
  <si>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</si>
  <si>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</si>
  <si>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</si>
  <si>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</si>
  <si>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</si>
  <si>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</si>
  <si>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</si>
  <si>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</si>
  <si>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</si>
  <si>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</si>
  <si>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</si>
  <si>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</si>
  <si>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</si>
  <si>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</si>
  <si>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</si>
  <si>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</si>
  <si>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</si>
  <si>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</si>
  <si>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</si>
  <si>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</si>
  <si>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</si>
  <si>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</si>
  <si>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</si>
  <si>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</si>
  <si>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</si>
  <si>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</si>
  <si>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</si>
  <si>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</si>
  <si>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</si>
  <si>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</si>
  <si>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</si>
  <si>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</si>
  <si>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</si>
  <si>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</si>
  <si>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</si>
  <si>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</si>
  <si>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</si>
  <si>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</si>
  <si>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</si>
  <si>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</si>
  <si>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</si>
  <si>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</si>
  <si>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</si>
  <si>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</si>
  <si>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</si>
  <si>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</si>
  <si>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</si>
  <si>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</si>
  <si>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</si>
  <si>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</si>
  <si>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</si>
  <si>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</si>
  <si>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</si>
  <si>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</si>
  <si>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</si>
  <si>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</si>
  <si>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</si>
  <si>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</si>
  <si>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</si>
  <si>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</si>
  <si>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</si>
  <si>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</si>
  <si>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</si>
  <si>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</si>
  <si>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</si>
  <si>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</si>
  <si>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</si>
  <si>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</si>
  <si>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</si>
  <si>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</si>
  <si>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</si>
  <si>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</si>
  <si>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</si>
  <si>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</si>
  <si>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</si>
  <si>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</si>
  <si>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</si>
  <si>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</si>
  <si>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</si>
  <si>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</si>
  <si>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</si>
  <si>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</si>
  <si>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t xml:space="preserve">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</si>
  <si>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</si>
  <si>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</si>
  <si>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</si>
  <si>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</si>
  <si>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</si>
  <si>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</si>
  <si>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</si>
  <si>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 ｜v5.29 X14 (k)：2026-10-08 改 Superseded，取代者 SRC_DEM_018（E259：2025 Q1–Q3 實際 8.67 $B 已高於本筆 8.4）；Cap_In C28 換算仍以本筆為據（G0-2 保留）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</si>
  <si>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</si>
  <si>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</si>
  <si>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</si>
  <si>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</si>
  <si>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</si>
  <si>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</si>
  <si>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</si>
  <si>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</si>
  <si>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</si>
  <si>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</si>
  <si>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</si>
  <si>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</si>
  <si>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</si>
  <si>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</si>
  <si>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</si>
  <si>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</si>
  <si>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</si>
  <si>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</si>
  <si>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</si>
  <si>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</si>
  <si>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</si>
  <si>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</si>
  <si>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</si>
  <si>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</si>
  <si>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</si>
  <si>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</si>
  <si>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</si>
  <si>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</si>
  <si>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</si>
  <si>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</si>
  <si>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</si>
  <si>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</si>
  <si>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</si>
  <si>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</si>
  <si>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</si>
  <si>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</si>
  <si>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</si>
  <si>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</si>
  <si>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</si>
  <si>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</si>
  <si>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</si>
  <si>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</si>
  <si>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</si>
  <si>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</si>
  <si>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</si>
  <si>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</si>
  <si>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</si>
  <si>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</si>
  <si>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</si>
  <si>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</si>
  <si>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</si>
  <si>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</si>
  <si>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</si>
  <si>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</si>
  <si>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</si>
  <si>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</si>
  <si>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</si>
  <si>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</si>
  <si>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</si>
  <si>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</si>
  <si>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</si>
  <si>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</si>
  <si>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</si>
  <si>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</si>
  <si>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</si>
  <si>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</si>
  <si>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</si>
  <si>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</si>
  <si>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</si>
  <si>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</si>
  <si>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</si>
  <si>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</si>
  <si>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</si>
  <si>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</si>
  <si>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</si>
  <si>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</si>
  <si>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</si>
  <si>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</si>
  <si>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Alloc!E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AL_SpendRatio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AL_FreeSpendShare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</si>
  <si>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新增，取代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openai_token_revenue.json</t>
    </r>
    <r>
      <rPr>
        <sz val="10"/>
        <color rgb="FF000000"/>
        <rFont val="Noto Sans CJK SC"/>
        <family val="2"/>
      </rPr>
      <t xml:space="preserve">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</si>
  <si>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</si>
  <si>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</si>
  <si>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</si>
  <si>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</si>
  <si>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</si>
  <si>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</si>
  <si>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</si>
  <si>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</si>
  <si>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</si>
  <si>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</si>
  <si>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</si>
  <si>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</si>
  <si>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</si>
  <si>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</si>
  <si>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</si>
  <si>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</si>
  <si>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</si>
  <si>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</si>
  <si>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</si>
  <si>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</si>
  <si>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</si>
  <si>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</si>
  <si>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</si>
  <si>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</si>
  <si>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</si>
  <si>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</si>
  <si>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</si>
  <si>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</si>
  <si>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</si>
  <si>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</si>
  <si>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</si>
  <si>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</si>
  <si>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</si>
  <si>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</si>
  <si>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</si>
  <si>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</si>
  <si>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</si>
  <si>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</si>
  <si>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</si>
  <si>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</si>
  <si>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</si>
  <si>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</si>
  <si>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</si>
  <si>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</si>
  <si>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</si>
  <si>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</si>
  <si>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</si>
  <si>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</si>
  <si>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</si>
  <si>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</si>
  <si>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</si>
  <si>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</si>
  <si>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</si>
  <si>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</si>
  <si>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</si>
  <si>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</si>
  <si>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</si>
  <si>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</si>
  <si>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</si>
  <si>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</si>
  <si>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</si>
  <si>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</si>
  <si>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</si>
  <si>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</si>
  <si>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</si>
  <si>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</si>
  <si>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</si>
  <si>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</si>
  <si>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</si>
  <si>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</si>
  <si>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</si>
  <si>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</si>
  <si>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</si>
  <si>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</si>
  <si>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</si>
  <si>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</si>
  <si>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</si>
  <si>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</si>
  <si>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</si>
  <si>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</si>
  <si>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</si>
  <si>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</si>
  <si>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</si>
  <si>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</si>
  <si>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</si>
  <si>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</si>
  <si>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</si>
  <si>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</si>
  <si>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</si>
  <si>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</si>
  <si>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</si>
  <si>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</si>
  <si>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</si>
  <si>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</si>
  <si>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</si>
  <si>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</si>
  <si>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</si>
  <si>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</si>
  <si>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</si>
  <si>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</si>
  <si>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</si>
  <si>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</si>
  <si>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</si>
  <si>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</si>
  <si>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</si>
  <si>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</si>
  <si>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</si>
  <si>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</si>
  <si>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</si>
  <si>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</si>
  <si>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</si>
  <si>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</si>
  <si>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</si>
  <si>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</si>
  <si>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</si>
  <si>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</si>
  <si>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</si>
  <si>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</si>
  <si>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</si>
  <si>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</si>
  <si>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</si>
  <si>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</si>
  <si>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</si>
  <si>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</si>
  <si>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</si>
  <si>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</si>
  <si>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</si>
  <si>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</si>
  <si>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</si>
  <si>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</si>
  <si>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</si>
  <si>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</si>
  <si>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</si>
  <si>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</si>
  <si>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</si>
  <si>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</si>
  <si>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</si>
  <si>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</si>
  <si>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</si>
  <si>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</si>
  <si>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</si>
  <si>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</si>
  <si>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</si>
  <si>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</si>
  <si>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</si>
  <si>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</si>
  <si>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</si>
  <si>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</si>
  <si>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</si>
  <si>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</si>
  <si>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</si>
  <si>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</si>
  <si>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</si>
  <si>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</si>
  <si>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</si>
  <si>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</si>
  <si>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</si>
  <si>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</si>
  <si>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</si>
  <si>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</si>
  <si>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</si>
  <si>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</si>
  <si>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</si>
  <si>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</si>
  <si>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</si>
  <si>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</si>
  <si>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</si>
  <si>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</si>
  <si>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</si>
  <si>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</si>
  <si>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</si>
  <si>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</si>
  <si>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</si>
  <si>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</si>
  <si>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</si>
  <si>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</si>
  <si>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</si>
  <si>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</si>
  <si>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</si>
  <si>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</si>
  <si>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</si>
  <si>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</si>
  <si>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</si>
  <si>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</si>
  <si>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</si>
  <si>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</si>
  <si>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</si>
  <si>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</si>
  <si>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</si>
  <si>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</si>
  <si>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</si>
  <si>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</si>
  <si>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</si>
  <si>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</si>
  <si>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</si>
  <si>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</si>
  <si>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</si>
  <si>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</si>
  <si>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</si>
  <si>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</si>
  <si>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</si>
  <si>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</si>
  <si>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</si>
  <si>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</si>
  <si>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</si>
  <si>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</si>
  <si>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</si>
  <si>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</si>
  <si>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</si>
  <si>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</si>
  <si>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</si>
  <si>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</si>
  <si>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</si>
  <si>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</si>
  <si>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</si>
  <si>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</si>
  <si>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</si>
  <si>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</si>
  <si>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</si>
  <si>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</si>
  <si>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</si>
  <si>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</si>
  <si>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</si>
  <si>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</si>
  <si>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</si>
  <si>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</si>
  <si>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</si>
  <si>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</si>
  <si>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</si>
  <si>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</si>
  <si>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</si>
  <si>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</si>
  <si>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</si>
  <si>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</si>
  <si>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</si>
  <si>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</si>
  <si>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</si>
  <si>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</si>
  <si>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</si>
  <si>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</si>
  <si>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</si>
  <si>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</si>
  <si>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</si>
  <si>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</si>
  <si>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</si>
  <si>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</si>
  <si>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</si>
  <si>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</si>
  <si>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</si>
  <si>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</si>
  <si>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</si>
  <si>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</si>
  <si>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</si>
  <si>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</si>
  <si>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</si>
  <si>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</si>
  <si>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</si>
  <si>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</si>
  <si>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</si>
  <si>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</si>
  <si>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</si>
  <si>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</si>
  <si>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</si>
  <si>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</si>
  <si>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</si>
  <si>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</si>
  <si>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</si>
  <si>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</si>
  <si>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</si>
  <si>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</si>
  <si>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</si>
  <si>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</si>
  <si>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</si>
  <si>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</si>
  <si>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</si>
  <si>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</si>
  <si>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</si>
  <si>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</si>
  <si>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</si>
  <si>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</si>
  <si>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</si>
  <si>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</si>
  <si>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</si>
  <si>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</si>
  <si>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</si>
  <si>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</si>
  <si>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</si>
  <si>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</si>
  <si>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</si>
  <si>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</si>
  <si>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</si>
  <si>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</si>
  <si>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</si>
  <si>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</si>
  <si>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</si>
  <si>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</si>
  <si>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</si>
  <si>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</si>
  <si>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</si>
  <si>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</si>
  <si>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</si>
  <si>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</si>
  <si>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</si>
  <si>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</si>
  <si>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</si>
  <si>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</si>
  <si>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</si>
  <si>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</si>
  <si>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</si>
  <si>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</si>
  <si>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</si>
  <si>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</si>
  <si>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</si>
  <si>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</si>
  <si>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</si>
  <si>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</si>
  <si>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</si>
  <si>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</si>
  <si>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</si>
  <si>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</si>
  <si>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</si>
  <si>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</si>
  <si>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</si>
  <si>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</si>
  <si>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</si>
  <si>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</si>
  <si>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</si>
  <si>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</si>
  <si>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</si>
  <si>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</si>
  <si>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</si>
  <si>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</si>
  <si>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</si>
  <si>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</si>
  <si>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</si>
  <si>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</si>
  <si>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</si>
  <si>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</si>
  <si>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</si>
  <si>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</si>
  <si>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</si>
  <si>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</si>
  <si>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</si>
  <si>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</si>
  <si>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</si>
  <si>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</si>
  <si>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</si>
  <si>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</si>
  <si>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</si>
  <si>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</si>
  <si>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</si>
  <si>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</si>
  <si>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</si>
  <si>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</si>
  <si>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</si>
  <si>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</si>
  <si>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</si>
  <si>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</si>
  <si>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</si>
  <si>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</si>
  <si>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</si>
  <si>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</si>
  <si>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</si>
  <si>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</si>
  <si>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</si>
  <si>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</si>
  <si>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</si>
  <si>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</si>
  <si>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</si>
  <si>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</si>
  <si>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</si>
  <si>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</si>
  <si>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</si>
  <si>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</si>
  <si>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</si>
  <si>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</si>
  <si>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</si>
  <si>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</si>
  <si>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</si>
  <si>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</si>
  <si>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</si>
  <si>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</si>
  <si>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</si>
  <si>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</si>
  <si>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</si>
  <si>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</si>
  <si>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</si>
  <si>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</si>
  <si>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</si>
  <si>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</si>
  <si>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</si>
  <si>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</si>
  <si>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</si>
  <si>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</si>
  <si>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</si>
  <si>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</si>
  <si>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</si>
  <si>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</si>
  <si>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</si>
  <si>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</si>
  <si>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</si>
  <si>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</si>
  <si>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</si>
  <si>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</si>
  <si>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</si>
  <si>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</si>
  <si>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</si>
  <si>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</si>
  <si>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</si>
  <si>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</si>
  <si>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</si>
  <si>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</si>
  <si>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</si>
  <si>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</si>
  <si>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</si>
  <si>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</si>
  <si>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</si>
  <si>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</si>
  <si>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</si>
  <si>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</si>
  <si>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</si>
  <si>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</si>
  <si>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</si>
  <si>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</si>
  <si>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</si>
  <si>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</si>
  <si>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</si>
  <si>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</si>
  <si>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</si>
  <si>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</si>
  <si>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</si>
  <si>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</si>
  <si>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</si>
  <si>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</si>
  <si>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</si>
  <si>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</si>
  <si>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</si>
  <si>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</si>
  <si>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</si>
  <si>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</si>
  <si>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</si>
  <si>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</si>
  <si>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</si>
  <si>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</si>
  <si>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</si>
  <si>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</si>
  <si>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</si>
  <si>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</si>
  <si>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</si>
  <si>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</si>
  <si>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</si>
  <si>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</si>
  <si>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</si>
  <si>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</si>
  <si>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</si>
  <si>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</si>
  <si>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</si>
  <si>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</si>
  <si>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</si>
  <si>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</si>
  <si>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</si>
  <si>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</si>
  <si>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</si>
  <si>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</si>
  <si>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</si>
  <si>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</si>
  <si>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</si>
  <si>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</si>
  <si>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</si>
  <si>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</si>
  <si>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</si>
  <si>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</si>
  <si>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</si>
  <si>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</si>
  <si>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</si>
  <si>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</si>
  <si>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</si>
  <si>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</si>
  <si>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</si>
  <si>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</si>
  <si>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</si>
  <si>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</si>
  <si>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</si>
  <si>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</si>
  <si>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</si>
  <si>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</si>
  <si>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</si>
  <si>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</si>
  <si>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</si>
  <si>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</si>
  <si>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</si>
  <si>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</si>
  <si>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</si>
  <si>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</si>
  <si>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</si>
  <si>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</si>
  <si>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</si>
  <si>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</si>
  <si>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</si>
  <si>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</si>
  <si>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</si>
  <si>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</si>
  <si>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</si>
  <si>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</si>
  <si>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</si>
  <si>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</si>
  <si>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</si>
  <si>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</si>
  <si>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</si>
  <si>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</si>
  <si>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</si>
  <si>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</si>
  <si>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</si>
  <si>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</si>
  <si>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</si>
  <si>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</si>
  <si>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</si>
  <si>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</si>
  <si>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</si>
  <si>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</si>
  <si>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</si>
  <si>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</si>
  <si>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</si>
  <si>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</si>
  <si>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</si>
  <si>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</si>
  <si>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</si>
  <si>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</si>
  <si>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</si>
  <si>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</si>
  <si>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</si>
  <si>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</si>
  <si>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</si>
  <si>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</si>
  <si>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</si>
  <si>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</si>
  <si>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</si>
  <si>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</si>
  <si>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</si>
  <si>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</si>
  <si>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</si>
  <si>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</si>
  <si>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</si>
  <si>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</si>
  <si>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</si>
  <si>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</si>
  <si>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</si>
  <si>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</si>
  <si>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</si>
  <si>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</si>
  <si>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</si>
  <si>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</si>
  <si>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</si>
  <si>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</si>
  <si>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</si>
  <si>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</si>
  <si>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</si>
  <si>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</si>
  <si>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</si>
  <si>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</si>
  <si>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</si>
  <si>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</si>
  <si>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</si>
  <si>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</si>
  <si>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</si>
  <si>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</si>
  <si>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</si>
  <si>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</si>
  <si>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</si>
  <si>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</si>
  <si>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</si>
  <si>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</si>
  <si>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</si>
  <si>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</si>
  <si>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</si>
  <si>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</si>
  <si>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</si>
  <si>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</si>
  <si>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</si>
  <si>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</si>
  <si>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</si>
  <si>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</si>
  <si>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</si>
  <si>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</si>
  <si>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</si>
  <si>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</si>
  <si>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</si>
  <si>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</si>
  <si>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</si>
  <si>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</si>
  <si>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</si>
  <si>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</si>
  <si>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</si>
  <si>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</si>
  <si>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</si>
  <si>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</si>
  <si>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</si>
  <si>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</si>
  <si>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</si>
  <si>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</si>
  <si>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</si>
  <si>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</si>
  <si>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</si>
  <si>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</si>
  <si>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</si>
  <si>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</si>
  <si>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</si>
  <si>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</si>
  <si>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</si>
  <si>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</si>
  <si>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</si>
  <si>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</si>
  <si>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</si>
  <si>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</si>
  <si>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</si>
  <si>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</si>
  <si>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</si>
  <si>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</si>
  <si>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</si>
  <si>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</si>
  <si>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</si>
  <si>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</si>
  <si>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</si>
  <si>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</si>
  <si>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</si>
  <si>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</si>
  <si>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</si>
  <si>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</si>
  <si>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</si>
  <si>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</si>
  <si>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</si>
  <si>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</si>
  <si>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</si>
  <si>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</si>
  <si>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</si>
  <si>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</si>
  <si>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</si>
  <si>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</si>
  <si>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</si>
  <si>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</si>
  <si>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</si>
  <si>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</si>
  <si>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</si>
  <si>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</si>
  <si>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</si>
  <si>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</si>
  <si>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</si>
  <si>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</si>
  <si>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</si>
  <si>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</si>
  <si>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</si>
  <si>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</si>
  <si>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</si>
  <si>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</si>
  <si>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</si>
  <si>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</si>
  <si>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</si>
  <si>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</si>
  <si>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</si>
  <si>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</si>
  <si>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</si>
  <si>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</si>
  <si>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</si>
  <si>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</si>
  <si>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</si>
  <si>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</si>
  <si>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</si>
  <si>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</si>
  <si>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</si>
  <si>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</si>
  <si>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</si>
  <si>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</si>
  <si>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</si>
  <si>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</si>
  <si>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</si>
  <si>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</si>
  <si>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</si>
  <si>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</si>
  <si>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</si>
  <si>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</si>
  <si>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</si>
  <si>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</si>
  <si>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</si>
  <si>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</si>
  <si>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</si>
  <si>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</si>
  <si>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</si>
  <si>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</si>
  <si>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</si>
  <si>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</si>
  <si>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</si>
  <si>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</si>
  <si>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</si>
  <si>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</si>
  <si>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</si>
  <si>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</si>
  <si>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</si>
  <si>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</si>
  <si>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</si>
  <si>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</si>
  <si>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</si>
  <si>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</si>
  <si>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</si>
  <si>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</si>
  <si>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</si>
  <si>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</si>
  <si>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</si>
  <si>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</si>
  <si>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</si>
  <si>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</si>
  <si>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</si>
  <si>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</si>
  <si>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</si>
  <si>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</si>
  <si>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</si>
  <si>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</si>
  <si>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</si>
  <si>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</si>
  <si>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</si>
  <si>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</si>
  <si>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</si>
  <si>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</si>
  <si>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</si>
  <si>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</si>
  <si>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</si>
  <si>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</si>
  <si>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</si>
  <si>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</si>
  <si>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</si>
  <si>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</si>
  <si>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</si>
  <si>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</si>
  <si>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</si>
  <si>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</si>
  <si>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</si>
  <si>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</si>
  <si>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</si>
  <si>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</si>
  <si>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</si>
  <si>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</si>
  <si>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</si>
  <si>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</si>
  <si>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</si>
  <si>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</si>
  <si>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</si>
  <si>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</si>
  <si>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</si>
  <si>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</si>
  <si>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</si>
  <si>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</si>
  <si>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</si>
  <si>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</si>
  <si>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</si>
  <si>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</si>
  <si>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</si>
  <si>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</si>
  <si>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</si>
  <si>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</si>
  <si>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</si>
  <si>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</si>
  <si>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</si>
  <si>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</si>
  <si>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</si>
  <si>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</si>
  <si>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</si>
  <si>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</si>
  <si>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</si>
  <si>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</si>
  <si>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</si>
  <si>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</si>
  <si>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</si>
  <si>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</si>
  <si>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</si>
  <si>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</si>
  <si>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</si>
  <si>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</si>
  <si>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</si>
  <si>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</si>
  <si>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</si>
  <si>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</si>
  <si>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</si>
  <si>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</si>
  <si>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</si>
  <si>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</si>
  <si>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</si>
  <si>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</si>
  <si>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</si>
  <si>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</si>
  <si>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</si>
  <si>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</si>
  <si>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</si>
  <si>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</si>
  <si>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</si>
  <si>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</si>
  <si>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</si>
  <si>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</si>
  <si>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</si>
  <si>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</si>
  <si>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</si>
  <si>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</si>
  <si>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</si>
  <si>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</si>
  <si>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</si>
  <si>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</si>
  <si>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</si>
  <si>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</si>
  <si>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</si>
  <si>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</si>
  <si>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</si>
  <si>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</si>
  <si>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</si>
  <si>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</si>
  <si>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</si>
  <si>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</si>
  <si>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</si>
  <si>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</si>
  <si>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</si>
  <si>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</si>
  <si>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</si>
  <si>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</si>
  <si>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</si>
  <si>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</si>
  <si>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</si>
  <si>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</si>
  <si>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</si>
  <si>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</si>
  <si>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</si>
  <si>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</si>
  <si>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</si>
  <si>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</si>
  <si>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</si>
  <si>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</si>
  <si>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</si>
  <si>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</si>
  <si>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</si>
  <si>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</si>
  <si>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</si>
  <si>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</si>
  <si>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</si>
  <si>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</si>
  <si>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</si>
  <si>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</si>
  <si>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</si>
  <si>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</si>
  <si>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</si>
  <si>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</si>
  <si>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</si>
  <si>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</si>
  <si>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</si>
  <si>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</si>
  <si>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</si>
  <si>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</si>
  <si>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</si>
  <si>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</si>
  <si>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</si>
  <si>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</si>
  <si>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</si>
  <si>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</si>
  <si>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</si>
  <si>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</si>
  <si>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</si>
  <si>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</si>
  <si>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</si>
  <si>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</si>
  <si>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</si>
  <si>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</si>
  <si>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</si>
  <si>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</si>
  <si>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</si>
  <si>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</si>
  <si>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</si>
  <si>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</si>
  <si>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</si>
  <si>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</si>
  <si>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</si>
  <si>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</si>
  <si>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</si>
  <si>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</si>
  <si>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</si>
  <si>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</si>
  <si>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</si>
  <si>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</si>
  <si>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</si>
  <si>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</si>
  <si>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</si>
  <si>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</si>
  <si>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</si>
  <si>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</si>
  <si>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</si>
  <si>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</si>
  <si>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</si>
  <si>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</si>
  <si>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</si>
  <si>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</si>
  <si>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</si>
  <si>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</si>
  <si>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</si>
  <si>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</si>
  <si>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</si>
  <si>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</si>
  <si>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</si>
  <si>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</si>
  <si>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</si>
  <si>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</si>
  <si>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</si>
  <si>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</si>
  <si>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</si>
  <si>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</si>
  <si>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</si>
  <si>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</si>
  <si>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</si>
  <si>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</si>
  <si>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</si>
  <si>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</si>
  <si>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</si>
  <si>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</si>
  <si>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</si>
  <si>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</si>
  <si>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</si>
  <si>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</si>
  <si>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</si>
  <si>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</si>
  <si>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</si>
  <si>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</si>
  <si>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</si>
  <si>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</si>
  <si>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</si>
  <si>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</si>
  <si>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</si>
  <si>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</si>
  <si>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</si>
  <si>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</si>
  <si>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</si>
  <si>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</si>
  <si>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</si>
  <si>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</si>
  <si>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</si>
  <si>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</si>
  <si>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</si>
  <si>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</si>
  <si>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</si>
  <si>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</si>
  <si>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</si>
  <si>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</si>
  <si>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</si>
  <si>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</si>
  <si>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</si>
  <si>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</si>
  <si>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</si>
  <si>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</si>
  <si>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</si>
  <si>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</si>
  <si>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</si>
  <si>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</si>
  <si>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</si>
  <si>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</si>
  <si>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</si>
  <si>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</si>
  <si>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</si>
  <si>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</si>
  <si>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</si>
  <si>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</si>
  <si>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</si>
  <si>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</si>
  <si>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</si>
  <si>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</si>
  <si>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</si>
  <si>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</si>
  <si>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</si>
  <si>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</si>
  <si>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</si>
  <si>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</si>
  <si>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</si>
  <si>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</si>
  <si>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</si>
  <si>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</si>
  <si>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</si>
  <si>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</si>
  <si>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</si>
  <si>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</si>
  <si>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</si>
  <si>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</si>
  <si>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</si>
  <si>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</si>
  <si>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</si>
  <si>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</si>
  <si>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</si>
  <si>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</si>
  <si>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</si>
  <si>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</si>
  <si>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</si>
  <si>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</si>
  <si>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</si>
  <si>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</si>
  <si>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</si>
  <si>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</si>
  <si>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</si>
  <si>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</si>
  <si>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</si>
  <si>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</si>
  <si>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</si>
  <si>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</si>
  <si>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</si>
  <si>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</si>
  <si>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</si>
  <si>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</si>
  <si>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</si>
  <si>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</si>
  <si>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</si>
  <si>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</si>
  <si>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</si>
  <si>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</si>
  <si>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</si>
  <si>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</si>
  <si>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</si>
  <si>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</si>
  <si>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</si>
  <si>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</si>
  <si>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</si>
  <si>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</si>
  <si>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</si>
  <si>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</si>
  <si>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</si>
  <si>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</si>
  <si>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</si>
  <si>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</si>
  <si>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</si>
  <si>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</si>
  <si>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</si>
  <si>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</si>
  <si>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</si>
  <si>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</si>
  <si>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</si>
  <si>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</si>
  <si>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</si>
  <si>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</si>
  <si>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</si>
  <si>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</si>
  <si>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</si>
  <si>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</si>
  <si>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</si>
  <si>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</si>
  <si>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</si>
  <si>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</si>
  <si>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</si>
  <si>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</si>
  <si>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</si>
  <si>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</si>
  <si>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</si>
  <si>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</si>
  <si>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</si>
  <si>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</si>
  <si>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</si>
  <si>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</si>
  <si>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</si>
  <si>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</si>
  <si>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</si>
  <si>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</si>
  <si>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</si>
  <si>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</si>
  <si>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</si>
  <si>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</si>
  <si>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</si>
  <si>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</si>
  <si>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</si>
  <si>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</si>
  <si>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</si>
  <si>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</si>
  <si>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</si>
  <si>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</si>
  <si>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</si>
  <si>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</si>
  <si>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</si>
  <si>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</si>
  <si>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</si>
  <si>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</si>
  <si>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</si>
  <si>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</si>
  <si>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</si>
  <si>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</si>
  <si>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</si>
  <si>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</si>
  <si>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</si>
  <si>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</si>
  <si>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</si>
  <si>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</si>
  <si>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</si>
  <si>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</si>
  <si>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</si>
  <si>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</si>
  <si>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</si>
  <si>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</si>
  <si>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</si>
  <si>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</si>
  <si>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</si>
  <si>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</si>
  <si>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</si>
  <si>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</si>
  <si>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</si>
  <si>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</si>
  <si>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</si>
  <si>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</si>
  <si>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</si>
  <si>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</si>
  <si>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</si>
  <si>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</si>
  <si>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</si>
  <si>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</si>
  <si>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</si>
  <si>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</si>
  <si>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</si>
  <si>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</si>
  <si>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</si>
  <si>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</si>
  <si>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</si>
  <si>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</si>
  <si>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</si>
  <si>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</si>
  <si>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</si>
  <si>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</si>
  <si>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</si>
  <si>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</si>
  <si>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</si>
  <si>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</si>
  <si>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</si>
  <si>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</si>
  <si>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</si>
  <si>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</si>
  <si>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</si>
  <si>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</si>
  <si>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</si>
  <si>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</si>
  <si>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</si>
  <si>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</si>
  <si>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</si>
  <si>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</si>
  <si>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</si>
  <si>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</si>
  <si>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</si>
  <si>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</si>
  <si>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</si>
  <si>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</si>
  <si>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</si>
  <si>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</si>
  <si>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</si>
  <si>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</si>
  <si>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</si>
  <si>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</si>
  <si>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</si>
  <si>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</si>
  <si>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</si>
  <si>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</si>
  <si>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</si>
  <si>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</si>
  <si>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</si>
  <si>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</si>
  <si>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</si>
  <si>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</si>
  <si>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</si>
  <si>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</si>
  <si>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</si>
  <si>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</si>
  <si>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</si>
  <si>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</si>
  <si>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</si>
  <si>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</si>
  <si>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</si>
  <si>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</si>
  <si>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</si>
  <si>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</si>
  <si>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</si>
  <si>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</si>
  <si>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</si>
  <si>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</si>
  <si>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</si>
  <si>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</si>
  <si>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</si>
  <si>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</si>
  <si>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</si>
  <si>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</si>
  <si>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</si>
  <si>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</si>
  <si>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</si>
  <si>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</si>
  <si>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</si>
  <si>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</si>
  <si>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</si>
  <si>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</si>
  <si>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Noto Sans CJK SC"/>
        <family val="2"/>
      </rPr>
      <t xml:space="preserve">並列（</t>
    </r>
    <r>
      <rPr>
        <sz val="10"/>
        <color rgb="FF0000FF"/>
        <rFont val="Arial"/>
        <family val="0"/>
        <charset val="1"/>
      </rPr>
      <t xml:space="preserve">Alt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</si>
  <si>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非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數字，不取代；作為前沿實驗室量級的中立對照：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需求 </t>
    </r>
    <r>
      <rPr>
        <sz val="10"/>
        <color rgb="FF0000FF"/>
        <rFont val="Arial"/>
        <family val="0"/>
        <charset val="1"/>
      </rPr>
      <t xml:space="preserve">D 11.5T/</t>
    </r>
    <r>
      <rPr>
        <sz val="10"/>
        <color rgb="FF0000FF"/>
        <rFont val="Noto Sans CJK SC"/>
        <family val="2"/>
      </rPr>
      <t xml:space="preserve">日約為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同期的 </t>
    </r>
    <r>
      <rPr>
        <sz val="10"/>
        <color rgb="FF0000FF"/>
        <rFont val="Arial"/>
        <family val="0"/>
        <charset val="1"/>
      </rPr>
      <t xml:space="preserve">1/3</t>
    </r>
    <r>
      <rPr>
        <sz val="10"/>
        <color rgb="FF0000FF"/>
        <rFont val="Noto Sans CJK SC"/>
        <family val="2"/>
      </rPr>
      <t xml:space="preserve">，落在合理量級，不支持「</t>
    </r>
    <r>
      <rPr>
        <sz val="10"/>
        <color rgb="FF0000FF"/>
        <rFont val="Arial"/>
        <family val="0"/>
        <charset val="1"/>
      </rPr>
      <t xml:space="preserve">D </t>
    </r>
    <r>
      <rPr>
        <sz val="10"/>
        <color rgb="FF0000FF"/>
        <rFont val="Noto Sans CJK SC"/>
        <family val="2"/>
      </rPr>
      <t xml:space="preserve">低估 </t>
    </r>
    <r>
      <rPr>
        <sz val="10"/>
        <color rgb="FF0000FF"/>
        <rFont val="Arial"/>
        <family val="0"/>
        <charset val="1"/>
      </rPr>
      <t xml:space="preserve">14 </t>
    </r>
    <r>
      <rPr>
        <sz val="10"/>
        <color rgb="FF0000FF"/>
        <rFont val="Noto Sans CJK SC"/>
        <family val="2"/>
      </rPr>
      <t xml:space="preserve">倍」｜讀取者：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</si>
  <si>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</si>
  <si>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</si>
  <si>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</si>
  <si>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</si>
  <si>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</si>
  <si>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</si>
  <si>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</si>
  <si>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</si>
  <si>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</si>
  <si>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</si>
  <si>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r>
      <rPr>
        <sz val="10"/>
        <color rgb="FF0000FF"/>
        <rFont val="Noto Sans CJK SC"/>
        <family val="2"/>
      </rPr>
      <t xml:space="preserve">中國：</t>
    </r>
    <r>
      <rPr>
        <sz val="10"/>
        <color rgb="FF0000FF"/>
        <rFont val="Arial"/>
        <family val="0"/>
        <charset val="1"/>
      </rPr>
      <t xml:space="preserve">2026-02 </t>
    </r>
    <r>
      <rPr>
        <sz val="10"/>
        <color rgb="FF0000FF"/>
        <rFont val="Noto Sans CJK SC"/>
        <family val="2"/>
      </rPr>
      <t xml:space="preserve">主流模型日均 </t>
    </r>
    <r>
      <rPr>
        <sz val="10"/>
        <color rgb="FF0000FF"/>
        <rFont val="Arial"/>
        <family val="0"/>
        <charset val="1"/>
      </rPr>
      <t xml:space="preserve">180T token</t>
    </r>
    <r>
      <rPr>
        <sz val="10"/>
        <color rgb="FF0000FF"/>
        <rFont val="Noto Sans CJK SC"/>
        <family val="2"/>
      </rPr>
      <t xml:space="preserve">；國家數據局 </t>
    </r>
    <r>
      <rPr>
        <sz val="10"/>
        <color rgb="FF0000FF"/>
        <rFont val="Arial"/>
        <family val="0"/>
        <charset val="1"/>
      </rPr>
      <t xml:space="preserve">2025-06 </t>
    </r>
    <r>
      <rPr>
        <sz val="10"/>
        <color rgb="FF0000FF"/>
        <rFont val="Noto Sans CJK SC"/>
        <family val="2"/>
      </rPr>
      <t xml:space="preserve">底日均逾 </t>
    </r>
    <r>
      <rPr>
        <sz val="10"/>
        <color rgb="FF0000FF"/>
        <rFont val="Arial"/>
        <family val="0"/>
        <charset val="1"/>
      </rPr>
      <t xml:space="preserve">30T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Doubao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50T/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</si>
  <si>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</si>
  <si>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</si>
  <si>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</si>
  <si>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Noto Sans CJK SC"/>
        <family val="2"/>
      </rPr>
      <t xml:space="preserve">量級對照：單一領先實驗室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底至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初日均 </t>
    </r>
    <r>
      <rPr>
        <sz val="10"/>
        <color rgb="FF0000FF"/>
        <rFont val="Arial"/>
        <family val="0"/>
        <charset val="1"/>
      </rPr>
      <t xml:space="preserve">10–50T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11.5T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平均）在範圍內｜讀取者：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</si>
  <si>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</si>
  <si>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</si>
  <si>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</si>
  <si>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</si>
  <si>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</si>
  <si>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</si>
  <si>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</si>
  <si>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r>
      <rPr>
        <sz val="10"/>
        <color rgb="FF0000FF"/>
        <rFont val="Noto Sans CJK SC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X14 (k)</t>
    </r>
    <r>
      <rPr>
        <sz val="10"/>
        <color rgb="FF0000FF"/>
        <rFont val="Noto Sans CJK SC"/>
        <family val="2"/>
      </rPr>
      <t xml:space="preserve">）：新增 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12.3–13.0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改 </t>
    </r>
    <r>
      <rPr>
        <sz val="10"/>
        <color rgb="FF0000FF"/>
        <rFont val="Arial"/>
        <family val="0"/>
        <charset val="1"/>
      </rPr>
      <t xml:space="preserve">Superseded</t>
    </r>
  </si>
  <si>
    <r>
      <rPr>
        <sz val="10"/>
        <color rgb="FF0000FF"/>
        <rFont val="Noto Sans CJK SC"/>
        <family val="2"/>
      </rPr>
      <t xml:space="preserve">新值高於現值；採用後支出路線服務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0.74 </t>
    </r>
    <r>
      <rPr>
        <sz val="10"/>
        <color rgb="FF0000FF"/>
        <rFont val="Noto Sans CJK SC"/>
        <family val="2"/>
      </rPr>
      <t xml:space="preserve">升至約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。此支出為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計價（含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利潤與資本回收），不等於持有成本口徑；見 </t>
    </r>
    <r>
      <rPr>
        <sz val="10"/>
        <color rgb="FF0000FF"/>
        <rFont val="Arial"/>
        <family val="0"/>
        <charset val="1"/>
      </rPr>
      <t xml:space="preserve">summary </t>
    </r>
    <r>
      <rPr>
        <sz val="10"/>
        <color rgb="FF0000FF"/>
        <rFont val="Noto Sans CJK SC"/>
        <family val="2"/>
      </rPr>
      <t xml:space="preserve">的分解（</t>
    </r>
    <r>
      <rPr>
        <sz val="10"/>
        <color rgb="FF0000FF"/>
        <rFont val="Arial"/>
        <family val="0"/>
        <charset val="1"/>
      </rPr>
      <t xml:space="preserve">L1_GapSpendBasis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</si>
  <si>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</si>
  <si>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AL_SpendRatio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AL_FreeSpendShare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IF_AllocImpliedNk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</si>
  <si>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</si>
  <si>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</si>
  <si>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</si>
  <si>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</si>
  <si>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</si>
  <si>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</si>
  <si>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r>
      <rPr>
        <sz val="10"/>
        <color rgb="FF0000FF"/>
        <rFont val="Noto Sans CJK SC"/>
        <family val="2"/>
      </rPr>
      <t xml:space="preserve">既有證據已支持現值，只記錄核對｜讀取者：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</si>
  <si>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</si>
  <si>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</si>
  <si>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r>
      <rPr>
        <sz val="10"/>
        <color rgb="FF0000FF"/>
        <rFont val="Noto Sans CJK SC"/>
        <family val="2"/>
      </rPr>
      <t xml:space="preserve">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數：</t>
    </r>
    <r>
      <rPr>
        <sz val="10"/>
        <color rgb="FF0000FF"/>
        <rFont val="Arial"/>
        <family val="0"/>
        <charset val="1"/>
      </rPr>
      <t xml:space="preserve">OpenRouter 2025 </t>
    </r>
    <r>
      <rPr>
        <sz val="10"/>
        <color rgb="FF0000FF"/>
        <rFont val="Noto Sans CJK SC"/>
        <family val="2"/>
      </rPr>
      <t xml:space="preserve">年末每請求平均 </t>
    </r>
    <r>
      <rPr>
        <sz val="10"/>
        <color rgb="FF0000FF"/>
        <rFont val="Arial"/>
        <family val="0"/>
        <charset val="1"/>
      </rPr>
      <t xml:space="preserve">6,000 </t>
    </r>
    <r>
      <rPr>
        <sz val="10"/>
        <color rgb="FF0000FF"/>
        <rFont val="Noto Sans CJK SC"/>
        <family val="2"/>
      </rPr>
      <t xml:space="preserve">輸入＋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輸出（含推理）（</t>
    </r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已登錄）；</t>
    </r>
    <r>
      <rPr>
        <sz val="10"/>
        <color rgb="FF0000FF"/>
        <rFont val="Arial"/>
        <family val="0"/>
        <charset val="1"/>
      </rPr>
      <t xml:space="preserve">Robonomics </t>
    </r>
    <r>
      <rPr>
        <sz val="10"/>
        <color rgb="FF0000FF"/>
        <rFont val="Noto Sans CJK SC"/>
        <family val="2"/>
      </rPr>
      <t xml:space="preserve">作者假設 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 </t>
    </r>
    <r>
      <rPr>
        <sz val="10"/>
        <color rgb="FF0000FF"/>
        <rFont val="Arial"/>
        <family val="0"/>
        <charset val="1"/>
      </rPr>
      <t xml:space="preserve">800–2,000</t>
    </r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</si>
  <si>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</si>
  <si>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</si>
  <si>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</si>
  <si>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</si>
  <si>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建議基準改 </t>
    </r>
    <r>
      <rPr>
        <sz val="10"/>
        <color rgb="FF0000FF"/>
        <rFont val="Arial"/>
        <family val="0"/>
        <charset val="1"/>
      </rPr>
      <t xml:space="preserve">4,000</t>
    </r>
    <r>
      <rPr>
        <sz val="10"/>
        <color rgb="FF0000FF"/>
        <rFont val="Noto Sans CJK SC"/>
        <family val="2"/>
      </rPr>
      <t xml:space="preserve">、區間 </t>
    </r>
    <r>
      <rPr>
        <sz val="10"/>
        <color rgb="FF0000FF"/>
        <rFont val="Arial"/>
        <family val="0"/>
        <charset val="1"/>
      </rPr>
      <t xml:space="preserve">2,000–6,400</t>
    </r>
    <r>
      <rPr>
        <sz val="10"/>
        <color rgb="FF0000FF"/>
        <rFont val="Noto Sans CJK SC"/>
        <family val="2"/>
      </rPr>
      <t xml:space="preserve">（上限改為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實測）</t>
    </r>
  </si>
  <si>
    <r>
      <rPr>
        <sz val="10"/>
        <color rgb="FF0000FF"/>
        <rFont val="Noto Sans CJK SC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X14 (l)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Alloc_In C15 4,000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 2,000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E15 6,400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</si>
  <si>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</si>
  <si>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</si>
  <si>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</si>
  <si>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</si>
  <si>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</si>
  <si>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</si>
  <si>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</si>
  <si>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</si>
  <si>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r>
      <rPr>
        <sz val="10"/>
        <color rgb="FF0000FF"/>
        <rFont val="Noto Sans CJK SC"/>
        <family val="2"/>
      </rPr>
      <t xml:space="preserve">比值 </t>
    </r>
    <r>
      <rPr>
        <sz val="10"/>
        <color rgb="FF0000FF"/>
        <rFont val="Arial"/>
        <family val="0"/>
        <charset val="1"/>
      </rPr>
      <t xml:space="preserve">0.07</t>
    </r>
  </si>
  <si>
    <r>
      <rPr>
        <sz val="10"/>
        <color rgb="FF0000FF"/>
        <rFont val="Noto Sans CJK SC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X14 (m)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新增 </t>
    </r>
    <r>
      <rPr>
        <sz val="10"/>
        <color rgb="FF0000FF"/>
        <rFont val="Arial"/>
        <family val="0"/>
        <charset val="1"/>
      </rPr>
      <t xml:space="preserve">L1_GapPrompt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GapSpendBasis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GapISL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GapUtil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GapProduct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新增兩個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輸入</t>
    </r>
  </si>
  <si>
    <r>
      <rPr>
        <sz val="10"/>
        <color rgb="FF0000FF"/>
        <rFont val="Noto Sans CJK SC"/>
        <family val="2"/>
      </rPr>
      <t xml:space="preserve">結論：落差不是單一錯誤，而是四個口徑差的乘積；契約須寫明 </t>
    </r>
    <r>
      <rPr>
        <sz val="10"/>
        <color rgb="FF0000FF"/>
        <rFont val="Arial"/>
        <family val="0"/>
        <charset val="1"/>
      </rPr>
      <t xml:space="preserve">IF_TokGW </t>
    </r>
    <r>
      <rPr>
        <sz val="10"/>
        <color rgb="FF0000FF"/>
        <rFont val="Noto Sans CJK SC"/>
        <family val="2"/>
      </rPr>
      <t xml:space="preserve">為「參考請求、</t>
    </r>
    <r>
      <rPr>
        <sz val="10"/>
        <color rgb="FF0000FF"/>
        <rFont val="Arial"/>
        <family val="0"/>
        <charset val="1"/>
      </rPr>
      <t xml:space="preserve">100%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60% </t>
    </r>
    <r>
      <rPr>
        <sz val="10"/>
        <color rgb="FF0000FF"/>
        <rFont val="Noto Sans CJK SC"/>
        <family val="2"/>
      </rPr>
      <t xml:space="preserve">口徑」，下游以自身請求組合與利用率換算｜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</si>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</sst>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7" hidden="false" customHeight="false" outlineLevel="0" collapsed="false">
      <c r="A32" s="10" t="s">
        <v>58</v>
      </c>
      <c r="B32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60</v>
      </c>
    </row>
    <row r="2" customFormat="false" ht="15" hidden="false" customHeight="true" outlineLevel="0" collapsed="false">
      <c r="A2" s="11" t="s">
        <v>61</v>
      </c>
    </row>
    <row r="3" customFormat="false" ht="15" hidden="false" customHeight="true" outlineLevel="0" collapsed="false">
      <c r="A3" s="12" t="s">
        <v>62</v>
      </c>
      <c r="B3" s="12" t="s">
        <v>63</v>
      </c>
      <c r="C3" s="12"/>
      <c r="D3" s="12" t="s">
        <v>64</v>
      </c>
      <c r="E3" s="12" t="s">
        <v>65</v>
      </c>
      <c r="F3" s="12" t="s">
        <v>66</v>
      </c>
      <c r="G3" s="12" t="s">
        <v>67</v>
      </c>
      <c r="H3" s="12" t="s">
        <v>68</v>
      </c>
    </row>
    <row r="4" customFormat="false" ht="15" hidden="false" customHeight="true" outlineLevel="0" collapsed="false">
      <c r="A4" s="13" t="s">
        <v>69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70</v>
      </c>
      <c r="B5" s="16" t="s">
        <v>71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72</v>
      </c>
      <c r="H5" s="19" t="s">
        <v>73</v>
      </c>
    </row>
    <row r="6" customFormat="false" ht="15" hidden="false" customHeight="true" outlineLevel="0" collapsed="false">
      <c r="A6" s="20" t="s">
        <v>74</v>
      </c>
      <c r="B6" s="21" t="s">
        <v>75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72</v>
      </c>
      <c r="H6" s="19" t="s">
        <v>76</v>
      </c>
    </row>
    <row r="7" customFormat="false" ht="15" hidden="false" customHeight="true" outlineLevel="0" collapsed="false">
      <c r="A7" s="13" t="s">
        <v>77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78</v>
      </c>
      <c r="B8" s="16" t="s">
        <v>79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80</v>
      </c>
      <c r="H8" s="19" t="s">
        <v>81</v>
      </c>
    </row>
    <row r="9" customFormat="false" ht="15" hidden="false" customHeight="true" outlineLevel="0" collapsed="false">
      <c r="A9" s="15" t="s">
        <v>82</v>
      </c>
      <c r="B9" s="16" t="s">
        <v>83</v>
      </c>
      <c r="D9" s="24" t="n">
        <v>1.1</v>
      </c>
      <c r="E9" s="24" t="n">
        <v>1.2</v>
      </c>
      <c r="F9" s="24" t="n">
        <v>1.3</v>
      </c>
      <c r="G9" s="16" t="s">
        <v>84</v>
      </c>
      <c r="H9" s="19" t="s">
        <v>85</v>
      </c>
    </row>
    <row r="10" customFormat="false" ht="15" hidden="false" customHeight="true" outlineLevel="0" collapsed="false">
      <c r="A10" s="20" t="s">
        <v>86</v>
      </c>
      <c r="B10" s="16" t="s">
        <v>79</v>
      </c>
      <c r="D10" s="23" t="n">
        <v>0.7</v>
      </c>
      <c r="E10" s="23" t="n">
        <v>0.8</v>
      </c>
      <c r="F10" s="23" t="n">
        <v>0.9</v>
      </c>
      <c r="G10" s="16" t="s">
        <v>80</v>
      </c>
      <c r="H10" s="6" t="s">
        <v>87</v>
      </c>
    </row>
    <row r="11" customFormat="false" ht="15" hidden="false" customHeight="true" outlineLevel="0" collapsed="false">
      <c r="A11" s="20" t="s">
        <v>88</v>
      </c>
      <c r="B11" s="16" t="s">
        <v>89</v>
      </c>
      <c r="D11" s="24" t="n">
        <v>0.06</v>
      </c>
      <c r="E11" s="24" t="n">
        <v>0.08</v>
      </c>
      <c r="F11" s="24" t="n">
        <v>0.1</v>
      </c>
      <c r="G11" s="16" t="s">
        <v>90</v>
      </c>
      <c r="H11" s="6" t="s">
        <v>91</v>
      </c>
    </row>
    <row r="12" customFormat="false" ht="15" hidden="false" customHeight="true" outlineLevel="0" collapsed="false">
      <c r="A12" s="25" t="s">
        <v>92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93</v>
      </c>
      <c r="B13" s="16" t="s">
        <v>79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84</v>
      </c>
      <c r="H13" s="6" t="s">
        <v>94</v>
      </c>
    </row>
    <row r="14" customFormat="false" ht="15" hidden="false" customHeight="true" outlineLevel="0" collapsed="false">
      <c r="A14" s="20" t="s">
        <v>95</v>
      </c>
      <c r="B14" s="16" t="s">
        <v>96</v>
      </c>
      <c r="D14" s="18" t="n">
        <v>300</v>
      </c>
      <c r="E14" s="18" t="n">
        <v>500</v>
      </c>
      <c r="F14" s="18" t="n">
        <v>800</v>
      </c>
      <c r="G14" s="16" t="s">
        <v>80</v>
      </c>
      <c r="H14" s="6" t="s">
        <v>97</v>
      </c>
    </row>
    <row r="15" customFormat="false" ht="15" hidden="false" customHeight="true" outlineLevel="0" collapsed="false">
      <c r="A15" s="13" t="s">
        <v>98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99</v>
      </c>
      <c r="B16" s="16" t="s">
        <v>100</v>
      </c>
      <c r="D16" s="24" t="n">
        <v>0.02</v>
      </c>
      <c r="E16" s="24" t="n">
        <v>0.02</v>
      </c>
      <c r="F16" s="24" t="n">
        <v>0.02</v>
      </c>
      <c r="G16" s="16" t="s">
        <v>80</v>
      </c>
      <c r="H16" s="6" t="s">
        <v>101</v>
      </c>
    </row>
    <row r="17" customFormat="false" ht="15" hidden="false" customHeight="true" outlineLevel="0" collapsed="false">
      <c r="A17" s="20" t="s">
        <v>102</v>
      </c>
      <c r="B17" s="16" t="s">
        <v>100</v>
      </c>
      <c r="D17" s="24" t="n">
        <v>3</v>
      </c>
      <c r="E17" s="24" t="n">
        <v>3.6</v>
      </c>
      <c r="F17" s="24" t="n">
        <v>4.5</v>
      </c>
      <c r="G17" s="16" t="s">
        <v>80</v>
      </c>
      <c r="H17" s="19" t="s">
        <v>103</v>
      </c>
    </row>
    <row r="18" customFormat="false" ht="15" hidden="false" customHeight="true" outlineLevel="0" collapsed="false">
      <c r="A18" s="20" t="s">
        <v>104</v>
      </c>
      <c r="B18" s="16" t="s">
        <v>100</v>
      </c>
      <c r="D18" s="24" t="n">
        <v>3.8</v>
      </c>
      <c r="E18" s="24" t="n">
        <v>4.5</v>
      </c>
      <c r="F18" s="24" t="n">
        <v>5.5</v>
      </c>
      <c r="G18" s="16" t="s">
        <v>80</v>
      </c>
      <c r="H18" s="19" t="s">
        <v>105</v>
      </c>
    </row>
    <row r="19" customFormat="false" ht="15" hidden="false" customHeight="true" outlineLevel="0" collapsed="false">
      <c r="A19" s="20" t="s">
        <v>106</v>
      </c>
      <c r="B19" s="16" t="s">
        <v>100</v>
      </c>
      <c r="D19" s="24" t="n">
        <v>2</v>
      </c>
      <c r="E19" s="24" t="n">
        <v>2.5</v>
      </c>
      <c r="F19" s="24" t="n">
        <v>3.2</v>
      </c>
      <c r="G19" s="16" t="s">
        <v>80</v>
      </c>
      <c r="H19" s="19" t="s">
        <v>107</v>
      </c>
    </row>
    <row r="20" customFormat="false" ht="15" hidden="false" customHeight="true" outlineLevel="0" collapsed="false">
      <c r="A20" s="20" t="s">
        <v>108</v>
      </c>
      <c r="B20" s="16" t="s">
        <v>100</v>
      </c>
      <c r="D20" s="24" t="n">
        <v>0.3</v>
      </c>
      <c r="E20" s="24" t="n">
        <v>0.4</v>
      </c>
      <c r="F20" s="24" t="n">
        <v>0.5</v>
      </c>
      <c r="G20" s="16" t="s">
        <v>80</v>
      </c>
      <c r="H20" s="19" t="s">
        <v>105</v>
      </c>
    </row>
    <row r="21" customFormat="false" ht="15" hidden="false" customHeight="true" outlineLevel="0" collapsed="false">
      <c r="A21" s="20" t="s">
        <v>109</v>
      </c>
      <c r="B21" s="16" t="s">
        <v>110</v>
      </c>
      <c r="D21" s="23" t="n">
        <v>0.12</v>
      </c>
      <c r="E21" s="23" t="n">
        <v>0.15</v>
      </c>
      <c r="F21" s="23" t="n">
        <v>0.18</v>
      </c>
      <c r="G21" s="16" t="s">
        <v>80</v>
      </c>
      <c r="H21" s="6" t="s">
        <v>111</v>
      </c>
    </row>
    <row r="22" customFormat="false" ht="15" hidden="false" customHeight="true" outlineLevel="0" collapsed="false">
      <c r="A22" s="13" t="s">
        <v>112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113</v>
      </c>
      <c r="B23" s="21" t="s">
        <v>114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115</v>
      </c>
      <c r="H23" s="6" t="s">
        <v>116</v>
      </c>
    </row>
    <row r="24" customFormat="false" ht="15" hidden="false" customHeight="true" outlineLevel="0" collapsed="false">
      <c r="A24" s="20" t="s">
        <v>117</v>
      </c>
      <c r="B24" s="21" t="s">
        <v>114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84</v>
      </c>
      <c r="H24" s="6" t="s">
        <v>118</v>
      </c>
    </row>
    <row r="25" customFormat="false" ht="15" hidden="false" customHeight="true" outlineLevel="0" collapsed="false">
      <c r="A25" s="20" t="s">
        <v>119</v>
      </c>
      <c r="B25" s="21" t="s">
        <v>114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84</v>
      </c>
      <c r="H25" s="6" t="s">
        <v>118</v>
      </c>
    </row>
    <row r="26" customFormat="false" ht="15" hidden="false" customHeight="true" outlineLevel="0" collapsed="false">
      <c r="A26" s="20" t="s">
        <v>120</v>
      </c>
      <c r="B26" s="21" t="s">
        <v>114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84</v>
      </c>
      <c r="H26" s="6" t="s">
        <v>118</v>
      </c>
    </row>
    <row r="27" customFormat="false" ht="15" hidden="false" customHeight="true" outlineLevel="0" collapsed="false">
      <c r="A27" s="20" t="s">
        <v>121</v>
      </c>
      <c r="B27" s="21" t="s">
        <v>114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84</v>
      </c>
      <c r="H27" s="6" t="s">
        <v>118</v>
      </c>
    </row>
    <row r="28" customFormat="false" ht="15" hidden="false" customHeight="true" outlineLevel="0" collapsed="false">
      <c r="A28" s="15" t="s">
        <v>122</v>
      </c>
      <c r="B28" s="16" t="s">
        <v>79</v>
      </c>
      <c r="D28" s="23" t="n">
        <v>0.08</v>
      </c>
      <c r="E28" s="23" t="n">
        <v>0.1</v>
      </c>
      <c r="F28" s="23" t="n">
        <v>0.13</v>
      </c>
      <c r="G28" s="16" t="s">
        <v>80</v>
      </c>
      <c r="H28" s="19" t="s">
        <v>123</v>
      </c>
    </row>
    <row r="29" customFormat="false" ht="15" hidden="false" customHeight="true" outlineLevel="0" collapsed="false">
      <c r="A29" s="13" t="s">
        <v>124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125</v>
      </c>
      <c r="B30" s="16" t="s">
        <v>126</v>
      </c>
      <c r="D30" s="23" t="n">
        <v>0.02</v>
      </c>
      <c r="E30" s="23" t="n">
        <v>0.03</v>
      </c>
      <c r="F30" s="23" t="n">
        <v>0.04</v>
      </c>
      <c r="G30" s="16" t="s">
        <v>84</v>
      </c>
      <c r="H30" s="6" t="s">
        <v>127</v>
      </c>
    </row>
    <row r="31" customFormat="false" ht="15" hidden="false" customHeight="true" outlineLevel="0" collapsed="false">
      <c r="A31" s="20" t="s">
        <v>128</v>
      </c>
      <c r="B31" s="16" t="s">
        <v>129</v>
      </c>
      <c r="D31" s="23" t="n">
        <v>0.015</v>
      </c>
      <c r="E31" s="23" t="n">
        <v>0.02</v>
      </c>
      <c r="F31" s="23" t="n">
        <v>0.025</v>
      </c>
      <c r="G31" s="16" t="s">
        <v>84</v>
      </c>
      <c r="H31" s="6" t="s">
        <v>130</v>
      </c>
    </row>
    <row r="32" customFormat="false" ht="15" hidden="false" customHeight="true" outlineLevel="0" collapsed="false">
      <c r="A32" s="20" t="s">
        <v>131</v>
      </c>
      <c r="B32" s="16" t="s">
        <v>132</v>
      </c>
      <c r="D32" s="18" t="n">
        <v>50</v>
      </c>
      <c r="E32" s="18" t="n">
        <v>75</v>
      </c>
      <c r="F32" s="18" t="n">
        <v>100</v>
      </c>
      <c r="G32" s="16" t="s">
        <v>80</v>
      </c>
      <c r="H32" s="6" t="s">
        <v>133</v>
      </c>
    </row>
    <row r="33" customFormat="false" ht="15" hidden="false" customHeight="true" outlineLevel="0" collapsed="false">
      <c r="A33" s="20" t="s">
        <v>134</v>
      </c>
      <c r="B33" s="16" t="s">
        <v>132</v>
      </c>
      <c r="D33" s="18" t="n">
        <v>150</v>
      </c>
      <c r="E33" s="18" t="n">
        <v>200</v>
      </c>
      <c r="F33" s="18" t="n">
        <v>250</v>
      </c>
      <c r="G33" s="16" t="s">
        <v>80</v>
      </c>
      <c r="H33" s="6" t="s">
        <v>135</v>
      </c>
    </row>
    <row r="34" customFormat="false" ht="15" hidden="false" customHeight="true" outlineLevel="0" collapsed="false">
      <c r="A34" s="20" t="s">
        <v>136</v>
      </c>
      <c r="B34" s="16" t="s">
        <v>137</v>
      </c>
      <c r="D34" s="24" t="n">
        <v>0.04</v>
      </c>
      <c r="E34" s="24" t="n">
        <v>0.05</v>
      </c>
      <c r="F34" s="24" t="n">
        <v>0.06</v>
      </c>
      <c r="G34" s="16" t="s">
        <v>80</v>
      </c>
      <c r="H34" s="6" t="s">
        <v>138</v>
      </c>
    </row>
    <row r="35" customFormat="false" ht="15" hidden="false" customHeight="true" outlineLevel="0" collapsed="false">
      <c r="A35" s="20" t="s">
        <v>139</v>
      </c>
      <c r="B35" s="16" t="s">
        <v>140</v>
      </c>
      <c r="D35" s="23" t="n">
        <v>0.003</v>
      </c>
      <c r="E35" s="23" t="n">
        <v>0.005</v>
      </c>
      <c r="F35" s="23" t="n">
        <v>0.008</v>
      </c>
      <c r="G35" s="16" t="s">
        <v>84</v>
      </c>
      <c r="H35" s="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142</v>
      </c>
    </row>
    <row r="2" customFormat="false" ht="15" hidden="false" customHeight="true" outlineLevel="0" collapsed="false">
      <c r="A2" s="11" t="s">
        <v>143</v>
      </c>
    </row>
    <row r="4" customFormat="false" ht="15" hidden="false" customHeight="true" outlineLevel="0" collapsed="false">
      <c r="A4" s="28" t="s">
        <v>144</v>
      </c>
      <c r="C4" s="25" t="s">
        <v>145</v>
      </c>
      <c r="D4" s="25" t="s">
        <v>146</v>
      </c>
      <c r="E4" s="25" t="s">
        <v>147</v>
      </c>
      <c r="F4" s="25" t="s">
        <v>148</v>
      </c>
      <c r="G4" s="25" t="s">
        <v>149</v>
      </c>
      <c r="H4" s="9" t="s">
        <v>150</v>
      </c>
    </row>
    <row r="5" customFormat="false" ht="15" hidden="false" customHeight="true" outlineLevel="0" collapsed="false">
      <c r="A5" s="20" t="s">
        <v>151</v>
      </c>
      <c r="C5" s="6" t="s">
        <v>152</v>
      </c>
      <c r="D5" s="6" t="s">
        <v>153</v>
      </c>
      <c r="E5" s="6" t="s">
        <v>154</v>
      </c>
      <c r="F5" s="6" t="s">
        <v>155</v>
      </c>
      <c r="G5" s="6" t="s">
        <v>156</v>
      </c>
    </row>
    <row r="6" customFormat="false" ht="15" hidden="false" customHeight="true" outlineLevel="0" collapsed="false">
      <c r="A6" s="15" t="s">
        <v>157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158</v>
      </c>
      <c r="C7" s="19" t="s">
        <v>159</v>
      </c>
      <c r="D7" s="19" t="s">
        <v>160</v>
      </c>
      <c r="E7" s="19" t="s">
        <v>160</v>
      </c>
      <c r="F7" s="19" t="s">
        <v>161</v>
      </c>
      <c r="G7" s="19" t="s">
        <v>160</v>
      </c>
    </row>
    <row r="8" customFormat="false" ht="15" hidden="false" customHeight="true" outlineLevel="0" collapsed="false">
      <c r="A8" s="20" t="s">
        <v>162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163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164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165</v>
      </c>
      <c r="C11" s="29" t="n">
        <v>0.9</v>
      </c>
      <c r="D11" s="30" t="n">
        <f aca="false">SRC_HW_006_Lo</f>
        <v>2.8</v>
      </c>
      <c r="E11" s="30" t="n">
        <f aca="false">SRC_HW_052</f>
        <v>4</v>
      </c>
      <c r="F11" s="29" t="n">
        <v>7.8</v>
      </c>
      <c r="G11" s="31" t="n">
        <f aca="false">F12*1.5</f>
        <v>12.6</v>
      </c>
    </row>
    <row r="12" customFormat="false" ht="15" hidden="false" customHeight="true" outlineLevel="0" collapsed="false">
      <c r="A12" s="20" t="s">
        <v>166</v>
      </c>
      <c r="C12" s="29" t="n">
        <v>1.1</v>
      </c>
      <c r="D12" s="29" t="n">
        <v>3.1</v>
      </c>
      <c r="E12" s="30" t="n">
        <f aca="false">SRC_HW_010</f>
        <v>5</v>
      </c>
      <c r="F12" s="29" t="n">
        <v>8.4</v>
      </c>
      <c r="G12" s="31" t="n">
        <f aca="false">F12*2</f>
        <v>16.8</v>
      </c>
    </row>
    <row r="13" customFormat="false" ht="15" hidden="false" customHeight="true" outlineLevel="0" collapsed="false">
      <c r="A13" s="20" t="s">
        <v>167</v>
      </c>
      <c r="C13" s="29" t="n">
        <v>1.3</v>
      </c>
      <c r="D13" s="30" t="n">
        <f aca="false">SRC_HW_006_Hi</f>
        <v>3.4</v>
      </c>
      <c r="E13" s="30" t="n">
        <f aca="false">SRC_HW_007_Hi</f>
        <v>6.5</v>
      </c>
      <c r="F13" s="29" t="n">
        <v>9.1</v>
      </c>
      <c r="G13" s="31" t="n">
        <f aca="false">F12*2.5</f>
        <v>21</v>
      </c>
    </row>
    <row r="14" customFormat="false" ht="54" hidden="false" customHeight="true" outlineLevel="0" collapsed="false">
      <c r="A14" s="20" t="s">
        <v>168</v>
      </c>
      <c r="C14" s="32" t="s">
        <v>169</v>
      </c>
      <c r="D14" s="33" t="s">
        <v>170</v>
      </c>
      <c r="E14" s="33" t="s">
        <v>105</v>
      </c>
      <c r="F14" s="33" t="s">
        <v>171</v>
      </c>
      <c r="G14" s="32" t="s">
        <v>172</v>
      </c>
    </row>
    <row r="15" customFormat="false" ht="54" hidden="false" customHeight="true" outlineLevel="0" collapsed="false">
      <c r="A15" s="20" t="s">
        <v>173</v>
      </c>
      <c r="C15" s="32" t="s">
        <v>174</v>
      </c>
      <c r="D15" s="33" t="s">
        <v>175</v>
      </c>
      <c r="E15" s="32" t="s">
        <v>176</v>
      </c>
      <c r="F15" s="32" t="s">
        <v>177</v>
      </c>
      <c r="G15" s="33" t="s">
        <v>178</v>
      </c>
    </row>
    <row r="16" customFormat="false" ht="54" hidden="false" customHeight="true" outlineLevel="0" collapsed="false">
      <c r="A16" s="20" t="s">
        <v>179</v>
      </c>
      <c r="C16" s="32" t="s">
        <v>180</v>
      </c>
      <c r="D16" s="32" t="s">
        <v>181</v>
      </c>
      <c r="E16" s="32" t="s">
        <v>182</v>
      </c>
      <c r="F16" s="32" t="s">
        <v>183</v>
      </c>
      <c r="G16" s="33" t="s">
        <v>184</v>
      </c>
    </row>
    <row r="17" customFormat="false" ht="54" hidden="false" customHeight="true" outlineLevel="0" collapsed="false">
      <c r="A17" s="20" t="s">
        <v>67</v>
      </c>
      <c r="C17" s="32" t="s">
        <v>84</v>
      </c>
      <c r="D17" s="32" t="s">
        <v>185</v>
      </c>
      <c r="E17" s="32" t="s">
        <v>185</v>
      </c>
      <c r="F17" s="32" t="s">
        <v>185</v>
      </c>
      <c r="G17" s="32" t="s">
        <v>186</v>
      </c>
    </row>
    <row r="19" customFormat="false" ht="15" hidden="false" customHeight="true" outlineLevel="0" collapsed="false">
      <c r="A19" s="11" t="s">
        <v>187</v>
      </c>
    </row>
    <row r="21" customFormat="false" ht="15" hidden="false" customHeight="true" outlineLevel="0" collapsed="false">
      <c r="A21" s="34" t="s">
        <v>188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35" t="s">
        <v>189</v>
      </c>
      <c r="C22" s="36" t="s">
        <v>190</v>
      </c>
      <c r="D22" s="36" t="s">
        <v>191</v>
      </c>
      <c r="E22" s="36" t="s">
        <v>191</v>
      </c>
      <c r="F22" s="36" t="s">
        <v>191</v>
      </c>
      <c r="G22" s="36" t="s">
        <v>191</v>
      </c>
      <c r="H22" s="37" t="s">
        <v>192</v>
      </c>
    </row>
    <row r="23" customFormat="false" ht="15" hidden="false" customHeight="true" outlineLevel="0" collapsed="false">
      <c r="A23" s="35" t="s">
        <v>193</v>
      </c>
      <c r="C23" s="38" t="n">
        <f aca="false">SRC_HW_040</f>
        <v>1.979</v>
      </c>
      <c r="D23" s="38" t="n">
        <f aca="false">SRC_HW_022</f>
        <v>10</v>
      </c>
      <c r="E23" s="38" t="n">
        <f aca="false">SRC_HW_025</f>
        <v>15</v>
      </c>
      <c r="F23" s="38" t="n">
        <f aca="false">SRC_HW_028</f>
        <v>35</v>
      </c>
      <c r="G23" s="39" t="n">
        <v>70</v>
      </c>
      <c r="H23" s="37" t="s">
        <v>194</v>
      </c>
    </row>
    <row r="24" customFormat="false" ht="15" hidden="false" customHeight="true" outlineLevel="0" collapsed="false">
      <c r="A24" s="35" t="s">
        <v>195</v>
      </c>
      <c r="C24" s="40" t="n">
        <f aca="false">C23</f>
        <v>1.979</v>
      </c>
      <c r="D24" s="38" t="n">
        <f aca="false">SRC_HW_022</f>
        <v>10</v>
      </c>
      <c r="E24" s="38" t="n">
        <f aca="false">SRC_HW_025</f>
        <v>15</v>
      </c>
      <c r="F24" s="38" t="n">
        <f aca="false">SRC_HW_027</f>
        <v>50</v>
      </c>
      <c r="G24" s="39" t="n">
        <v>100</v>
      </c>
      <c r="H24" s="37" t="s">
        <v>196</v>
      </c>
    </row>
    <row r="25" customFormat="false" ht="15" hidden="false" customHeight="true" outlineLevel="0" collapsed="false">
      <c r="A25" s="36" t="s">
        <v>197</v>
      </c>
      <c r="C25" s="41" t="n">
        <f aca="false">SRC_HW_020</f>
        <v>80</v>
      </c>
      <c r="D25" s="42" t="n">
        <v>186</v>
      </c>
      <c r="E25" s="41" t="n">
        <f aca="false">SRC_HW_026</f>
        <v>288</v>
      </c>
      <c r="F25" s="41" t="n">
        <f aca="false">SRC_HW_029</f>
        <v>288</v>
      </c>
      <c r="G25" s="42" t="n">
        <v>1024</v>
      </c>
      <c r="H25" s="37" t="s">
        <v>198</v>
      </c>
    </row>
    <row r="26" customFormat="false" ht="15" hidden="false" customHeight="true" outlineLevel="0" collapsed="false">
      <c r="A26" s="36" t="s">
        <v>199</v>
      </c>
      <c r="C26" s="43" t="n">
        <f aca="false">SRC_HW_021</f>
        <v>3.35</v>
      </c>
      <c r="D26" s="43" t="n">
        <f aca="false">SRC_HW_023</f>
        <v>8</v>
      </c>
      <c r="E26" s="43" t="n">
        <f aca="false">SRC_HW_059</f>
        <v>8</v>
      </c>
      <c r="F26" s="43" t="n">
        <f aca="false">SRC_HW_030</f>
        <v>22</v>
      </c>
      <c r="G26" s="44" t="n">
        <v>32</v>
      </c>
      <c r="H26" s="37" t="s">
        <v>200</v>
      </c>
    </row>
    <row r="27" customFormat="false" ht="15" hidden="false" customHeight="true" outlineLevel="0" collapsed="false">
      <c r="A27" s="36" t="s">
        <v>201</v>
      </c>
      <c r="C27" s="43" t="n">
        <f aca="false">SRC_HW_060/8/1000</f>
        <v>0.05</v>
      </c>
      <c r="D27" s="43" t="n">
        <f aca="false">SRC_HW_048</f>
        <v>0.9</v>
      </c>
      <c r="E27" s="43" t="n">
        <f aca="false">SRC_HW_048</f>
        <v>0.9</v>
      </c>
      <c r="F27" s="43" t="n">
        <f aca="false">SRC_HW_049</f>
        <v>1.8</v>
      </c>
      <c r="G27" s="44" t="n">
        <v>1.8</v>
      </c>
      <c r="H27" s="37" t="s">
        <v>202</v>
      </c>
    </row>
    <row r="28" customFormat="false" ht="15" hidden="false" customHeight="true" outlineLevel="0" collapsed="false">
      <c r="A28" s="36" t="s">
        <v>203</v>
      </c>
      <c r="C28" s="41" t="n">
        <f aca="false">SRC_HW_053</f>
        <v>8</v>
      </c>
      <c r="D28" s="41" t="n">
        <f aca="false">SRC_HW_047</f>
        <v>72</v>
      </c>
      <c r="E28" s="41" t="n">
        <f aca="false">SRC_HW_047</f>
        <v>72</v>
      </c>
      <c r="F28" s="41" t="n">
        <f aca="false">SRC_HW_047</f>
        <v>72</v>
      </c>
      <c r="G28" s="41" t="n">
        <f aca="false">SRC_HW_062</f>
        <v>576</v>
      </c>
      <c r="H28" s="37"/>
    </row>
    <row r="29" customFormat="false" ht="15" hidden="false" customHeight="true" outlineLevel="0" collapsed="false">
      <c r="A29" s="36" t="s">
        <v>204</v>
      </c>
      <c r="C29" s="42" t="n">
        <v>64</v>
      </c>
      <c r="D29" s="42" t="n">
        <v>32</v>
      </c>
      <c r="E29" s="41" t="n">
        <f aca="false">SRC_PERF_008</f>
        <v>32</v>
      </c>
      <c r="F29" s="42" t="n">
        <v>32</v>
      </c>
      <c r="G29" s="42" t="n">
        <v>64</v>
      </c>
      <c r="H29" s="37" t="s">
        <v>205</v>
      </c>
    </row>
    <row r="30" customFormat="false" ht="15" hidden="false" customHeight="true" outlineLevel="0" collapsed="false">
      <c r="A30" s="35" t="s">
        <v>206</v>
      </c>
      <c r="C30" s="45" t="n">
        <f aca="false">SRC_HW_055</f>
        <v>1</v>
      </c>
      <c r="D30" s="45" t="n">
        <f aca="false">SRC_HW_050</f>
        <v>0.5625</v>
      </c>
      <c r="E30" s="45" t="n">
        <f aca="false">SRC_HW_050</f>
        <v>0.5625</v>
      </c>
      <c r="F30" s="45" t="n">
        <f aca="false">SRC_HW_050</f>
        <v>0.5625</v>
      </c>
      <c r="G30" s="45" t="n">
        <f aca="false">SRC_HW_050</f>
        <v>0.5625</v>
      </c>
      <c r="H30" s="37" t="s">
        <v>207</v>
      </c>
    </row>
    <row r="31" customFormat="false" ht="15" hidden="false" customHeight="true" outlineLevel="0" collapsed="false">
      <c r="A31" s="35" t="s">
        <v>208</v>
      </c>
      <c r="C31" s="46" t="n">
        <v>1</v>
      </c>
      <c r="D31" s="46" t="n">
        <v>1</v>
      </c>
      <c r="E31" s="46" t="n">
        <v>1</v>
      </c>
      <c r="F31" s="46" t="n">
        <v>1</v>
      </c>
      <c r="G31" s="46" t="n">
        <v>1</v>
      </c>
      <c r="H31" s="47" t="s">
        <v>209</v>
      </c>
    </row>
    <row r="32" customFormat="false" ht="15" hidden="false" customHeight="true" outlineLevel="0" collapsed="false">
      <c r="A32" s="35" t="s">
        <v>210</v>
      </c>
      <c r="C32" s="42" t="n">
        <v>8</v>
      </c>
      <c r="D32" s="42" t="n">
        <v>4</v>
      </c>
      <c r="E32" s="41" t="n">
        <f aca="false">SRC_PERF_007</f>
        <v>4</v>
      </c>
      <c r="F32" s="42" t="n">
        <v>4</v>
      </c>
      <c r="G32" s="42" t="n">
        <v>8</v>
      </c>
      <c r="H32" s="37" t="s">
        <v>211</v>
      </c>
    </row>
    <row r="33" customFormat="false" ht="15" hidden="false" customHeight="true" outlineLevel="0" collapsed="false">
      <c r="A33" s="36" t="s">
        <v>212</v>
      </c>
      <c r="C33" s="41" t="n">
        <f aca="false">SRC_HW_056</f>
        <v>700</v>
      </c>
      <c r="D33" s="41" t="n">
        <f aca="false">SRC_HW_057</f>
        <v>1200</v>
      </c>
      <c r="E33" s="41" t="n">
        <f aca="false">SRC_HW_058</f>
        <v>1400</v>
      </c>
      <c r="F33" s="41" t="n">
        <f aca="false">SRC_HW_046*1000</f>
        <v>1800</v>
      </c>
      <c r="G33" s="42" t="n">
        <v>3600</v>
      </c>
      <c r="H33" s="37" t="s">
        <v>213</v>
      </c>
    </row>
    <row r="34" customFormat="false" ht="15" hidden="false" customHeight="true" outlineLevel="0" collapsed="false">
      <c r="A34" s="36" t="s">
        <v>214</v>
      </c>
      <c r="C34" s="42" t="n">
        <v>31</v>
      </c>
      <c r="D34" s="42" t="n">
        <v>25</v>
      </c>
      <c r="E34" s="42" t="n">
        <v>25</v>
      </c>
      <c r="F34" s="41" t="n">
        <f aca="false">SRC_HW_034*8</f>
        <v>20</v>
      </c>
      <c r="G34" s="42" t="n">
        <v>18</v>
      </c>
      <c r="H34" s="37" t="s">
        <v>215</v>
      </c>
    </row>
    <row r="35" customFormat="false" ht="15" hidden="false" customHeight="true" outlineLevel="0" collapsed="false">
      <c r="A35" s="9" t="s">
        <v>216</v>
      </c>
      <c r="C35" s="48" t="n">
        <f aca="false">IF(Serving!$C$16=2,C24,C23)</f>
        <v>1.979</v>
      </c>
      <c r="D35" s="48" t="n">
        <f aca="false">IF(Serving!$C$16=2,D24,D23)</f>
        <v>10</v>
      </c>
      <c r="E35" s="48" t="n">
        <f aca="false">IF(Serving!$C$16=2,E24,E23)</f>
        <v>15</v>
      </c>
      <c r="F35" s="48" t="n">
        <f aca="false">IF(Serving!$C$16=2,F24,F23)</f>
        <v>35</v>
      </c>
      <c r="G35" s="48" t="n">
        <f aca="false">IF(Serving!$C$16=2,G24,G23)</f>
        <v>70</v>
      </c>
    </row>
    <row r="36" customFormat="false" ht="15" hidden="false" customHeight="true" outlineLevel="0" collapsed="false">
      <c r="A36" s="36" t="s">
        <v>217</v>
      </c>
      <c r="C36" s="49" t="n">
        <f aca="false">C35*1000/C26</f>
        <v>590.746268656716</v>
      </c>
      <c r="D36" s="49" t="n">
        <f aca="false">D35*1000/D26</f>
        <v>1250</v>
      </c>
      <c r="E36" s="49" t="n">
        <f aca="false">E35*1000/E26</f>
        <v>1875</v>
      </c>
      <c r="F36" s="49" t="n">
        <f aca="false">F35*1000/F26</f>
        <v>1590.90909090909</v>
      </c>
      <c r="G36" s="49" t="n">
        <f aca="false">G35*1000/G26</f>
        <v>2187.5</v>
      </c>
    </row>
    <row r="38" customFormat="false" ht="15" hidden="false" customHeight="true" outlineLevel="0" collapsed="false">
      <c r="A38" s="34" t="s">
        <v>218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36" t="s">
        <v>219</v>
      </c>
      <c r="C39" s="38" t="n">
        <f aca="false">SRC_HW_019</f>
        <v>0.989</v>
      </c>
      <c r="D39" s="38" t="n">
        <f aca="false">SRC_HW_042</f>
        <v>2.5</v>
      </c>
      <c r="E39" s="38" t="n">
        <f aca="false">SRC_HW_042</f>
        <v>2.5</v>
      </c>
      <c r="F39" s="38" t="n">
        <f aca="false">SRC_HW_039/SRC_HW_047</f>
        <v>4</v>
      </c>
      <c r="G39" s="39" t="n">
        <v>8</v>
      </c>
      <c r="H39" s="37" t="s">
        <v>220</v>
      </c>
    </row>
    <row r="40" customFormat="false" ht="15" hidden="false" customHeight="true" outlineLevel="0" collapsed="false">
      <c r="A40" s="36" t="s">
        <v>221</v>
      </c>
      <c r="C40" s="38" t="n">
        <f aca="false">SRC_HW_040</f>
        <v>1.979</v>
      </c>
      <c r="D40" s="38" t="n">
        <f aca="false">SRC_HW_043</f>
        <v>5</v>
      </c>
      <c r="E40" s="38" t="n">
        <f aca="false">SRC_HW_043</f>
        <v>5</v>
      </c>
      <c r="F40" s="38" t="n">
        <f aca="false">SRC_HW_038/SRC_HW_047</f>
        <v>17.5</v>
      </c>
      <c r="G40" s="39" t="n">
        <v>35</v>
      </c>
      <c r="H40" s="37" t="s">
        <v>222</v>
      </c>
    </row>
    <row r="41" customFormat="false" ht="15" hidden="false" customHeight="true" outlineLevel="0" collapsed="false">
      <c r="A41" s="36" t="s">
        <v>223</v>
      </c>
      <c r="C41" s="40" t="n">
        <f aca="false">C40</f>
        <v>1.979</v>
      </c>
      <c r="D41" s="39" t="n">
        <v>10</v>
      </c>
      <c r="E41" s="39" t="n">
        <v>15</v>
      </c>
      <c r="F41" s="38" t="n">
        <f aca="false">SRC_HW_037/SRC_HW_047</f>
        <v>35</v>
      </c>
      <c r="G41" s="39" t="n">
        <v>70</v>
      </c>
      <c r="H41" s="37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0" t="s">
        <v>225</v>
      </c>
    </row>
    <row r="2" customFormat="false" ht="15" hidden="false" customHeight="false" outlineLevel="0" collapsed="false">
      <c r="A2" s="51" t="s">
        <v>226</v>
      </c>
    </row>
    <row r="4" customFormat="false" ht="15" hidden="false" customHeight="false" outlineLevel="0" collapsed="false">
      <c r="A4" s="10" t="s">
        <v>62</v>
      </c>
      <c r="B4" s="10" t="s">
        <v>63</v>
      </c>
      <c r="C4" s="52" t="s">
        <v>227</v>
      </c>
      <c r="D4" s="52" t="s">
        <v>228</v>
      </c>
      <c r="E4" s="52" t="s">
        <v>229</v>
      </c>
      <c r="F4" s="10" t="s">
        <v>67</v>
      </c>
      <c r="G4" s="10" t="s">
        <v>68</v>
      </c>
    </row>
    <row r="5" customFormat="false" ht="15" hidden="false" customHeight="false" outlineLevel="0" collapsed="false">
      <c r="A5" s="53" t="s">
        <v>230</v>
      </c>
      <c r="B5" s="53"/>
      <c r="C5" s="54" t="s">
        <v>231</v>
      </c>
      <c r="D5" s="54" t="s">
        <v>232</v>
      </c>
      <c r="E5" s="53" t="s">
        <v>233</v>
      </c>
      <c r="F5" s="51" t="s">
        <v>72</v>
      </c>
      <c r="G5" s="51" t="s">
        <v>234</v>
      </c>
    </row>
    <row r="6" customFormat="false" ht="15" hidden="false" customHeight="false" outlineLevel="0" collapsed="false">
      <c r="A6" s="53" t="s">
        <v>235</v>
      </c>
      <c r="B6" s="54" t="s">
        <v>236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1" t="s">
        <v>237</v>
      </c>
      <c r="G6" s="51" t="s">
        <v>238</v>
      </c>
    </row>
    <row r="7" customFormat="false" ht="15" hidden="false" customHeight="false" outlineLevel="0" collapsed="false">
      <c r="A7" s="53" t="s">
        <v>239</v>
      </c>
      <c r="B7" s="54" t="s">
        <v>236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1" t="s">
        <v>237</v>
      </c>
      <c r="G7" s="51" t="s">
        <v>240</v>
      </c>
    </row>
    <row r="8" customFormat="false" ht="15" hidden="false" customHeight="false" outlineLevel="0" collapsed="false">
      <c r="A8" s="53" t="s">
        <v>241</v>
      </c>
      <c r="B8" s="53" t="s">
        <v>242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1" t="s">
        <v>237</v>
      </c>
      <c r="G8" s="51" t="s">
        <v>243</v>
      </c>
    </row>
    <row r="9" customFormat="false" ht="15" hidden="false" customHeight="false" outlineLevel="0" collapsed="false">
      <c r="A9" s="54" t="s">
        <v>244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1" t="s">
        <v>237</v>
      </c>
      <c r="G9" s="51" t="s">
        <v>245</v>
      </c>
    </row>
    <row r="10" customFormat="false" ht="15" hidden="false" customHeight="false" outlineLevel="0" collapsed="false">
      <c r="A10" s="54" t="s">
        <v>246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1" t="s">
        <v>237</v>
      </c>
      <c r="G10" s="51" t="s">
        <v>247</v>
      </c>
    </row>
    <row r="11" customFormat="false" ht="15" hidden="false" customHeight="false" outlineLevel="0" collapsed="false">
      <c r="A11" s="54" t="s">
        <v>248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1" t="s">
        <v>237</v>
      </c>
      <c r="G11" s="51" t="s">
        <v>249</v>
      </c>
    </row>
    <row r="12" customFormat="false" ht="15" hidden="false" customHeight="false" outlineLevel="0" collapsed="false">
      <c r="A12" s="54" t="s">
        <v>250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1" t="s">
        <v>237</v>
      </c>
      <c r="G12" s="51"/>
    </row>
    <row r="13" customFormat="false" ht="15" hidden="false" customHeight="false" outlineLevel="0" collapsed="false">
      <c r="A13" s="53" t="s">
        <v>251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1" t="s">
        <v>237</v>
      </c>
      <c r="G13" s="51"/>
    </row>
    <row r="14" customFormat="false" ht="15" hidden="false" customHeight="false" outlineLevel="0" collapsed="false">
      <c r="A14" s="54" t="s">
        <v>252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1" t="s">
        <v>115</v>
      </c>
      <c r="G14" s="51"/>
    </row>
    <row r="15" customFormat="false" ht="15" hidden="false" customHeight="false" outlineLevel="0" collapsed="false">
      <c r="A15" s="54" t="s">
        <v>253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1" t="s">
        <v>237</v>
      </c>
      <c r="G15" s="51"/>
    </row>
    <row r="16" customFormat="false" ht="15" hidden="false" customHeight="false" outlineLevel="0" collapsed="false">
      <c r="A16" s="53" t="s">
        <v>254</v>
      </c>
      <c r="B16" s="54" t="s">
        <v>79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1" t="s">
        <v>237</v>
      </c>
      <c r="G16" s="51" t="s">
        <v>255</v>
      </c>
    </row>
    <row r="17" customFormat="false" ht="15" hidden="false" customHeight="false" outlineLevel="0" collapsed="false">
      <c r="A17" s="53" t="s">
        <v>256</v>
      </c>
      <c r="B17" s="54" t="s">
        <v>257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1" t="s">
        <v>258</v>
      </c>
      <c r="G17" s="51" t="s">
        <v>259</v>
      </c>
    </row>
    <row r="18" customFormat="false" ht="15" hidden="false" customHeight="false" outlineLevel="0" collapsed="false">
      <c r="A18" s="53" t="s">
        <v>260</v>
      </c>
      <c r="B18" s="54" t="s">
        <v>83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1" t="s">
        <v>115</v>
      </c>
      <c r="G18" s="51" t="s">
        <v>261</v>
      </c>
    </row>
    <row r="19" customFormat="false" ht="15" hidden="false" customHeight="false" outlineLevel="0" collapsed="false">
      <c r="A19" s="53" t="s">
        <v>262</v>
      </c>
      <c r="B19" s="54" t="s">
        <v>257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1" t="s">
        <v>115</v>
      </c>
      <c r="G19" s="51"/>
    </row>
    <row r="20" customFormat="false" ht="15" hidden="false" customHeight="false" outlineLevel="0" collapsed="false">
      <c r="A20" s="54" t="s">
        <v>263</v>
      </c>
      <c r="B20" s="53" t="s">
        <v>75</v>
      </c>
      <c r="E20" s="59" t="n">
        <v>2</v>
      </c>
      <c r="F20" s="51" t="s">
        <v>72</v>
      </c>
      <c r="G20" s="51" t="s">
        <v>264</v>
      </c>
    </row>
    <row r="21" customFormat="false" ht="15" hidden="false" customHeight="false" outlineLevel="0" collapsed="false">
      <c r="A21" s="54" t="s">
        <v>265</v>
      </c>
      <c r="B21" s="54" t="s">
        <v>236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1" t="s">
        <v>266</v>
      </c>
      <c r="G21" s="51" t="s">
        <v>267</v>
      </c>
    </row>
    <row r="22" customFormat="false" ht="15" hidden="false" customHeight="false" outlineLevel="0" collapsed="false">
      <c r="A22" s="54" t="s">
        <v>268</v>
      </c>
      <c r="B22" s="54" t="s">
        <v>236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1" t="s">
        <v>266</v>
      </c>
      <c r="G22" s="51" t="s">
        <v>269</v>
      </c>
    </row>
    <row r="23" customFormat="false" ht="15" hidden="false" customHeight="false" outlineLevel="0" collapsed="false">
      <c r="A23" s="54" t="s">
        <v>270</v>
      </c>
      <c r="B23" s="54" t="s">
        <v>236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1" t="s">
        <v>266</v>
      </c>
      <c r="G23" s="51" t="s">
        <v>271</v>
      </c>
    </row>
    <row r="24" customFormat="false" ht="15" hidden="false" customHeight="false" outlineLevel="0" collapsed="false">
      <c r="A24" s="61" t="s">
        <v>272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273</v>
      </c>
      <c r="B25" s="54" t="s">
        <v>236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274</v>
      </c>
      <c r="B26" s="54" t="s">
        <v>236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275</v>
      </c>
      <c r="B27" s="54" t="s">
        <v>236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276</v>
      </c>
    </row>
    <row r="28" customFormat="false" ht="15" hidden="false" customHeight="false" outlineLevel="0" collapsed="false">
      <c r="A28" s="53" t="s">
        <v>277</v>
      </c>
      <c r="B28" s="54" t="s">
        <v>236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278</v>
      </c>
      <c r="B29" s="54" t="s">
        <v>236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279</v>
      </c>
      <c r="B30" s="54" t="s">
        <v>280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281</v>
      </c>
      <c r="B31" s="54" t="s">
        <v>282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283</v>
      </c>
      <c r="B32" s="54" t="s">
        <v>257</v>
      </c>
      <c r="C32" s="56" t="n">
        <v>128000</v>
      </c>
      <c r="F32" s="66" t="s">
        <v>284</v>
      </c>
      <c r="G32" s="66" t="s">
        <v>285</v>
      </c>
    </row>
    <row r="33" customFormat="false" ht="15" hidden="false" customHeight="false" outlineLevel="0" collapsed="false">
      <c r="A33" s="68" t="s">
        <v>286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287</v>
      </c>
      <c r="B34" s="54" t="s">
        <v>236</v>
      </c>
      <c r="C34" s="56" t="n">
        <v>65</v>
      </c>
      <c r="D34" s="56" t="n">
        <v>65</v>
      </c>
      <c r="F34" s="51" t="s">
        <v>80</v>
      </c>
      <c r="G34" s="51" t="s">
        <v>288</v>
      </c>
    </row>
    <row r="35" customFormat="false" ht="15" hidden="false" customHeight="false" outlineLevel="0" collapsed="false">
      <c r="A35" s="54" t="s">
        <v>289</v>
      </c>
      <c r="B35" s="53" t="s">
        <v>290</v>
      </c>
      <c r="E35" s="56" t="n">
        <v>576</v>
      </c>
      <c r="F35" s="51" t="s">
        <v>84</v>
      </c>
      <c r="G35" s="66" t="s">
        <v>291</v>
      </c>
    </row>
    <row r="36" customFormat="false" ht="15" hidden="false" customHeight="false" outlineLevel="0" collapsed="false">
      <c r="A36" s="54" t="s">
        <v>292</v>
      </c>
      <c r="B36" s="54" t="s">
        <v>79</v>
      </c>
      <c r="E36" s="58" t="n">
        <v>0.26</v>
      </c>
      <c r="F36" s="51" t="s">
        <v>80</v>
      </c>
      <c r="G36" s="66" t="s">
        <v>293</v>
      </c>
    </row>
    <row r="37" customFormat="false" ht="15" hidden="false" customHeight="false" outlineLevel="0" collapsed="false">
      <c r="A37" s="54" t="s">
        <v>294</v>
      </c>
      <c r="B37" s="53" t="s">
        <v>295</v>
      </c>
      <c r="E37" s="56" t="n">
        <v>8</v>
      </c>
      <c r="F37" s="51" t="s">
        <v>80</v>
      </c>
      <c r="G37" s="51" t="s">
        <v>296</v>
      </c>
    </row>
    <row r="38" customFormat="false" ht="15" hidden="false" customHeight="false" outlineLevel="0" collapsed="false">
      <c r="A38" s="54" t="s">
        <v>297</v>
      </c>
      <c r="B38" s="54" t="s">
        <v>236</v>
      </c>
      <c r="C38" s="55" t="n">
        <f aca="false">SRC_HW_055</f>
        <v>1</v>
      </c>
      <c r="F38" s="66" t="s">
        <v>298</v>
      </c>
      <c r="G38" s="51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0" t="s">
        <v>300</v>
      </c>
    </row>
    <row r="2" customFormat="false" ht="15" hidden="false" customHeight="false" outlineLevel="0" collapsed="false">
      <c r="A2" s="66" t="s">
        <v>301</v>
      </c>
    </row>
    <row r="4" customFormat="false" ht="15" hidden="false" customHeight="false" outlineLevel="0" collapsed="false">
      <c r="A4" s="10" t="s">
        <v>302</v>
      </c>
      <c r="B4" s="10" t="s">
        <v>63</v>
      </c>
      <c r="C4" s="10" t="s">
        <v>303</v>
      </c>
      <c r="D4" s="10" t="s">
        <v>67</v>
      </c>
      <c r="E4" s="10"/>
      <c r="F4" s="10" t="s">
        <v>304</v>
      </c>
    </row>
    <row r="5" customFormat="false" ht="15" hidden="false" customHeight="false" outlineLevel="0" collapsed="false">
      <c r="A5" s="53" t="s">
        <v>305</v>
      </c>
      <c r="B5" s="53"/>
      <c r="C5" s="53" t="s">
        <v>306</v>
      </c>
      <c r="D5" s="51" t="s">
        <v>72</v>
      </c>
      <c r="F5" s="51" t="s">
        <v>307</v>
      </c>
    </row>
    <row r="6" customFormat="false" ht="15" hidden="false" customHeight="false" outlineLevel="0" collapsed="false">
      <c r="A6" s="54" t="s">
        <v>308</v>
      </c>
      <c r="B6" s="54" t="s">
        <v>257</v>
      </c>
      <c r="C6" s="59" t="n">
        <v>3</v>
      </c>
      <c r="D6" s="51" t="s">
        <v>84</v>
      </c>
      <c r="F6" s="51" t="s">
        <v>309</v>
      </c>
    </row>
    <row r="7" customFormat="false" ht="15" hidden="false" customHeight="false" outlineLevel="0" collapsed="false">
      <c r="A7" s="53" t="s">
        <v>310</v>
      </c>
      <c r="B7" s="54" t="s">
        <v>79</v>
      </c>
      <c r="C7" s="57" t="n">
        <f aca="false">SRC_PERF_005</f>
        <v>0.7</v>
      </c>
      <c r="D7" s="51" t="s">
        <v>311</v>
      </c>
      <c r="F7" s="51" t="s">
        <v>312</v>
      </c>
    </row>
    <row r="8" customFormat="false" ht="15" hidden="false" customHeight="false" outlineLevel="0" collapsed="false">
      <c r="A8" s="53" t="s">
        <v>313</v>
      </c>
      <c r="B8" s="54" t="s">
        <v>257</v>
      </c>
      <c r="C8" s="69" t="n">
        <f aca="false">(1-C7^(C6+1))/(1-C7)</f>
        <v>2.533</v>
      </c>
      <c r="D8" s="51" t="s">
        <v>258</v>
      </c>
      <c r="F8" s="51" t="s">
        <v>314</v>
      </c>
    </row>
    <row r="9" customFormat="false" ht="15" hidden="false" customHeight="false" outlineLevel="0" collapsed="false">
      <c r="A9" s="54" t="s">
        <v>315</v>
      </c>
      <c r="B9" s="54" t="s">
        <v>79</v>
      </c>
      <c r="C9" s="58" t="n">
        <v>0.1</v>
      </c>
      <c r="D9" s="51" t="s">
        <v>80</v>
      </c>
      <c r="F9" s="66" t="s">
        <v>316</v>
      </c>
    </row>
    <row r="10" customFormat="false" ht="15" hidden="false" customHeight="false" outlineLevel="0" collapsed="false">
      <c r="A10" s="53" t="s">
        <v>317</v>
      </c>
      <c r="B10" s="54" t="s">
        <v>79</v>
      </c>
      <c r="C10" s="58" t="n">
        <v>0.2</v>
      </c>
      <c r="D10" s="51" t="s">
        <v>80</v>
      </c>
      <c r="F10" s="66" t="s">
        <v>318</v>
      </c>
    </row>
    <row r="11" customFormat="false" ht="15" hidden="false" customHeight="false" outlineLevel="0" collapsed="false">
      <c r="A11" s="53" t="s">
        <v>319</v>
      </c>
      <c r="B11" s="54" t="s">
        <v>79</v>
      </c>
      <c r="C11" s="58" t="n">
        <v>0.4</v>
      </c>
      <c r="D11" s="51" t="s">
        <v>80</v>
      </c>
      <c r="F11" s="66" t="s">
        <v>320</v>
      </c>
    </row>
    <row r="12" customFormat="false" ht="15" hidden="false" customHeight="false" outlineLevel="0" collapsed="false">
      <c r="A12" s="54" t="s">
        <v>321</v>
      </c>
      <c r="B12" s="54" t="s">
        <v>236</v>
      </c>
      <c r="C12" s="70" t="n">
        <v>3</v>
      </c>
      <c r="D12" s="51" t="s">
        <v>84</v>
      </c>
      <c r="F12" s="51" t="s">
        <v>322</v>
      </c>
    </row>
    <row r="13" customFormat="false" ht="15" hidden="false" customHeight="false" outlineLevel="0" collapsed="false">
      <c r="A13" s="54" t="s">
        <v>323</v>
      </c>
      <c r="B13" s="54" t="s">
        <v>79</v>
      </c>
      <c r="C13" s="58" t="n">
        <v>0.7</v>
      </c>
      <c r="D13" s="51" t="s">
        <v>84</v>
      </c>
      <c r="F13" s="66" t="s">
        <v>324</v>
      </c>
    </row>
    <row r="14" customFormat="false" ht="15" hidden="false" customHeight="false" outlineLevel="0" collapsed="false">
      <c r="A14" s="54" t="s">
        <v>325</v>
      </c>
      <c r="B14" s="54" t="s">
        <v>79</v>
      </c>
      <c r="C14" s="58" t="n">
        <v>0.7</v>
      </c>
      <c r="D14" s="51" t="s">
        <v>84</v>
      </c>
      <c r="F14" s="66" t="s">
        <v>324</v>
      </c>
    </row>
    <row r="15" customFormat="false" ht="15" hidden="false" customHeight="false" outlineLevel="0" collapsed="false">
      <c r="A15" s="53" t="s">
        <v>326</v>
      </c>
      <c r="B15" s="54" t="s">
        <v>327</v>
      </c>
      <c r="C15" s="71" t="n">
        <v>0.1</v>
      </c>
      <c r="D15" s="51" t="s">
        <v>80</v>
      </c>
      <c r="F15" s="66" t="s">
        <v>328</v>
      </c>
    </row>
    <row r="16" customFormat="false" ht="15" hidden="false" customHeight="false" outlineLevel="0" collapsed="false">
      <c r="A16" s="53" t="s">
        <v>329</v>
      </c>
      <c r="B16" s="53" t="s">
        <v>75</v>
      </c>
      <c r="C16" s="59" t="n">
        <v>1</v>
      </c>
      <c r="D16" s="51" t="s">
        <v>72</v>
      </c>
      <c r="F16" s="51" t="s">
        <v>330</v>
      </c>
    </row>
    <row r="17" customFormat="false" ht="15" hidden="false" customHeight="false" outlineLevel="0" collapsed="false">
      <c r="A17" s="53" t="s">
        <v>331</v>
      </c>
      <c r="B17" s="54" t="s">
        <v>79</v>
      </c>
      <c r="C17" s="72" t="n">
        <v>0.6</v>
      </c>
      <c r="D17" s="51" t="s">
        <v>80</v>
      </c>
      <c r="F17" s="51" t="s">
        <v>332</v>
      </c>
    </row>
    <row r="18" customFormat="false" ht="15" hidden="false" customHeight="false" outlineLevel="0" collapsed="false">
      <c r="A18" s="53" t="s">
        <v>333</v>
      </c>
      <c r="B18" s="54" t="s">
        <v>83</v>
      </c>
      <c r="C18" s="73" t="n">
        <v>1</v>
      </c>
      <c r="D18" s="51" t="s">
        <v>80</v>
      </c>
      <c r="F18" s="66" t="s">
        <v>334</v>
      </c>
    </row>
    <row r="19" customFormat="false" ht="15" hidden="false" customHeight="false" outlineLevel="0" collapsed="false">
      <c r="A19" s="61" t="s">
        <v>335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10" t="s">
        <v>336</v>
      </c>
      <c r="B20" s="10" t="s">
        <v>63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10" t="s">
        <v>304</v>
      </c>
    </row>
    <row r="21" customFormat="false" ht="15" hidden="false" customHeight="false" outlineLevel="0" collapsed="false">
      <c r="A21" s="54" t="s">
        <v>337</v>
      </c>
      <c r="B21" s="54" t="s">
        <v>338</v>
      </c>
      <c r="C21" s="55" t="n">
        <f aca="false">SRC_PERF_018</f>
        <v>120</v>
      </c>
      <c r="D21" s="75" t="n">
        <v>65</v>
      </c>
      <c r="E21" s="75" t="n">
        <v>55</v>
      </c>
      <c r="F21" s="51" t="s">
        <v>339</v>
      </c>
    </row>
    <row r="22" customFormat="false" ht="15" hidden="false" customHeight="false" outlineLevel="0" collapsed="false">
      <c r="A22" s="54" t="s">
        <v>340</v>
      </c>
      <c r="B22" s="54" t="s">
        <v>341</v>
      </c>
      <c r="C22" s="70" t="n">
        <v>2</v>
      </c>
      <c r="D22" s="70" t="n">
        <v>3</v>
      </c>
      <c r="E22" s="70" t="n">
        <v>5</v>
      </c>
      <c r="F22" s="51" t="s">
        <v>80</v>
      </c>
    </row>
    <row r="23" customFormat="false" ht="15" hidden="false" customHeight="false" outlineLevel="0" collapsed="false">
      <c r="A23" s="53" t="s">
        <v>342</v>
      </c>
      <c r="B23" s="54" t="s">
        <v>257</v>
      </c>
      <c r="C23" s="56" t="n">
        <v>8192</v>
      </c>
      <c r="D23" s="56" t="n">
        <v>16384</v>
      </c>
      <c r="E23" s="56" t="n">
        <v>32768</v>
      </c>
      <c r="F23" s="51" t="s">
        <v>343</v>
      </c>
    </row>
    <row r="24" customFormat="false" ht="15" hidden="false" customHeight="false" outlineLevel="0" collapsed="false">
      <c r="A24" s="53" t="s">
        <v>344</v>
      </c>
      <c r="B24" s="54" t="s">
        <v>257</v>
      </c>
      <c r="C24" s="56" t="n">
        <v>1024</v>
      </c>
      <c r="D24" s="56" t="n">
        <v>2048</v>
      </c>
      <c r="E24" s="56" t="n">
        <v>4096</v>
      </c>
      <c r="F24" s="51" t="s">
        <v>80</v>
      </c>
    </row>
    <row r="25" customFormat="false" ht="15" hidden="false" customHeight="false" outlineLevel="0" collapsed="false">
      <c r="A25" s="54" t="s">
        <v>345</v>
      </c>
      <c r="B25" s="54" t="s">
        <v>257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1" t="s">
        <v>258</v>
      </c>
    </row>
    <row r="26" customFormat="false" ht="15" hidden="false" customHeight="false" outlineLevel="0" collapsed="false">
      <c r="A26" s="54" t="s">
        <v>346</v>
      </c>
      <c r="B26" s="54" t="s">
        <v>257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1" t="s">
        <v>258</v>
      </c>
    </row>
    <row r="28" customFormat="false" ht="15" hidden="false" customHeight="false" outlineLevel="0" collapsed="false">
      <c r="A28" s="53" t="s">
        <v>347</v>
      </c>
      <c r="B28" s="54" t="s">
        <v>83</v>
      </c>
      <c r="C28" s="73" t="n">
        <v>0.85</v>
      </c>
      <c r="D28" s="66" t="s">
        <v>348</v>
      </c>
      <c r="F28" s="51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0" t="s">
        <v>350</v>
      </c>
    </row>
    <row r="2" customFormat="false" ht="15" hidden="false" customHeight="false" outlineLevel="0" collapsed="false">
      <c r="A2" s="66" t="s">
        <v>351</v>
      </c>
    </row>
    <row r="4" customFormat="false" ht="30" hidden="false" customHeight="true" outlineLevel="0" collapsed="false">
      <c r="A4" s="10" t="s">
        <v>62</v>
      </c>
      <c r="B4" s="10" t="s">
        <v>63</v>
      </c>
      <c r="C4" s="76" t="s">
        <v>352</v>
      </c>
      <c r="D4" s="76" t="s">
        <v>353</v>
      </c>
      <c r="E4" s="76" t="s">
        <v>354</v>
      </c>
      <c r="F4" s="76" t="s">
        <v>355</v>
      </c>
      <c r="G4" s="77" t="s">
        <v>356</v>
      </c>
      <c r="H4" s="10" t="s">
        <v>304</v>
      </c>
    </row>
    <row r="5" customFormat="false" ht="15" hidden="false" customHeight="false" outlineLevel="0" collapsed="false">
      <c r="A5" s="53" t="s">
        <v>357</v>
      </c>
      <c r="B5" s="53" t="s">
        <v>358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1" t="s">
        <v>359</v>
      </c>
    </row>
    <row r="6" customFormat="false" ht="15" hidden="false" customHeight="false" outlineLevel="0" collapsed="false">
      <c r="A6" s="53" t="s">
        <v>360</v>
      </c>
      <c r="B6" s="54" t="s">
        <v>257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1" t="s">
        <v>80</v>
      </c>
    </row>
    <row r="7" customFormat="false" ht="15" hidden="false" customHeight="false" outlineLevel="0" collapsed="false">
      <c r="A7" s="53" t="s">
        <v>361</v>
      </c>
      <c r="B7" s="54" t="s">
        <v>257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1" t="s">
        <v>80</v>
      </c>
    </row>
    <row r="8" customFormat="false" ht="15" hidden="false" customHeight="false" outlineLevel="0" collapsed="false">
      <c r="A8" s="53" t="s">
        <v>362</v>
      </c>
      <c r="B8" s="54" t="s">
        <v>257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1" t="s">
        <v>363</v>
      </c>
    </row>
    <row r="9" customFormat="false" ht="15" hidden="false" customHeight="false" outlineLevel="0" collapsed="false">
      <c r="A9" s="53" t="s">
        <v>364</v>
      </c>
      <c r="B9" s="54" t="s">
        <v>257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1" t="s">
        <v>80</v>
      </c>
    </row>
    <row r="10" customFormat="false" ht="15" hidden="false" customHeight="false" outlineLevel="0" collapsed="false">
      <c r="A10" s="53" t="s">
        <v>365</v>
      </c>
      <c r="B10" s="54" t="s">
        <v>79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1" t="s">
        <v>366</v>
      </c>
    </row>
    <row r="11" customFormat="false" ht="15" hidden="false" customHeight="false" outlineLevel="0" collapsed="false">
      <c r="A11" s="53" t="s">
        <v>367</v>
      </c>
      <c r="B11" s="54" t="s">
        <v>79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1" t="s">
        <v>368</v>
      </c>
    </row>
    <row r="12" customFormat="false" ht="15" hidden="false" customHeight="false" outlineLevel="0" collapsed="false">
      <c r="A12" s="53" t="s">
        <v>369</v>
      </c>
      <c r="B12" s="53" t="s">
        <v>295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1" t="s">
        <v>370</v>
      </c>
    </row>
    <row r="13" customFormat="false" ht="15" hidden="false" customHeight="false" outlineLevel="0" collapsed="false">
      <c r="A13" s="54" t="s">
        <v>371</v>
      </c>
      <c r="B13" s="54" t="s">
        <v>83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1" t="s">
        <v>372</v>
      </c>
    </row>
    <row r="14" customFormat="false" ht="15" hidden="false" customHeight="false" outlineLevel="0" collapsed="false">
      <c r="A14" s="53" t="s">
        <v>373</v>
      </c>
      <c r="B14" s="54" t="s">
        <v>83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374</v>
      </c>
    </row>
    <row r="16" customFormat="false" ht="15" hidden="false" customHeight="false" outlineLevel="0" collapsed="false">
      <c r="A16" s="61" t="s">
        <v>375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376</v>
      </c>
      <c r="B17" s="54" t="s">
        <v>83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377</v>
      </c>
      <c r="B18" s="53" t="s">
        <v>358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378</v>
      </c>
      <c r="B19" s="54" t="s">
        <v>257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379</v>
      </c>
      <c r="B20" s="54" t="s">
        <v>79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380</v>
      </c>
      <c r="B21" s="54" t="s">
        <v>79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381</v>
      </c>
      <c r="B22" s="53" t="s">
        <v>295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382</v>
      </c>
      <c r="B23" s="54" t="s">
        <v>83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383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384</v>
      </c>
      <c r="B26" s="54" t="s">
        <v>257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385</v>
      </c>
      <c r="B27" s="54" t="s">
        <v>257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386</v>
      </c>
      <c r="B28" s="54" t="s">
        <v>257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387</v>
      </c>
      <c r="B29" s="54" t="s">
        <v>257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388</v>
      </c>
      <c r="B30" s="54" t="s">
        <v>257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389</v>
      </c>
      <c r="B31" s="54" t="s">
        <v>83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390</v>
      </c>
      <c r="B32" s="54" t="s">
        <v>257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391</v>
      </c>
      <c r="B33" s="54" t="s">
        <v>257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392</v>
      </c>
      <c r="B34" s="54" t="s">
        <v>257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393</v>
      </c>
      <c r="B35" s="54" t="s">
        <v>257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6.85" hidden="false" customHeight="false" outlineLevel="0" collapsed="false">
      <c r="A36" s="54" t="s">
        <v>345</v>
      </c>
      <c r="B36" s="54" t="s">
        <v>257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394</v>
      </c>
    </row>
    <row r="37" customFormat="false" ht="15" hidden="false" customHeight="false" outlineLevel="0" collapsed="false">
      <c r="A37" s="53" t="s">
        <v>395</v>
      </c>
      <c r="B37" s="54" t="s">
        <v>79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396</v>
      </c>
      <c r="B38" s="54" t="s">
        <v>83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397</v>
      </c>
      <c r="B39" s="54" t="s">
        <v>83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9.55" hidden="false" customHeight="false" outlineLevel="0" collapsed="false">
      <c r="A40" s="53" t="s">
        <v>398</v>
      </c>
      <c r="B40" s="54" t="s">
        <v>83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399</v>
      </c>
    </row>
    <row r="42" customFormat="false" ht="15" hidden="false" customHeight="false" outlineLevel="0" collapsed="false">
      <c r="A42" s="61" t="s">
        <v>400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401</v>
      </c>
      <c r="B43" s="54" t="s">
        <v>402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403</v>
      </c>
      <c r="B44" s="54" t="s">
        <v>402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404</v>
      </c>
      <c r="B45" s="54" t="s">
        <v>402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405</v>
      </c>
      <c r="B46" s="54" t="s">
        <v>402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406</v>
      </c>
      <c r="B47" s="54" t="s">
        <v>402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407</v>
      </c>
      <c r="B48" s="54" t="s">
        <v>402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0" t="s">
        <v>408</v>
      </c>
    </row>
    <row r="2" customFormat="false" ht="15" hidden="false" customHeight="false" outlineLevel="0" collapsed="false">
      <c r="A2" s="66" t="s">
        <v>409</v>
      </c>
    </row>
    <row r="4" customFormat="false" ht="15" hidden="false" customHeight="false" outlineLevel="0" collapsed="false">
      <c r="A4" s="68" t="s">
        <v>410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411</v>
      </c>
      <c r="B5" s="54" t="s">
        <v>79</v>
      </c>
      <c r="C5" s="58" t="n">
        <v>0.3</v>
      </c>
      <c r="J5" s="51" t="s">
        <v>412</v>
      </c>
    </row>
    <row r="7" customFormat="false" ht="15" hidden="false" customHeight="false" outlineLevel="0" collapsed="false">
      <c r="A7" s="68" t="s">
        <v>413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10" t="s">
        <v>336</v>
      </c>
      <c r="B8" s="10" t="s">
        <v>63</v>
      </c>
    </row>
    <row r="9" customFormat="false" ht="15" hidden="false" customHeight="false" outlineLevel="0" collapsed="false">
      <c r="A9" s="53" t="s">
        <v>2</v>
      </c>
      <c r="B9" s="53"/>
      <c r="C9" s="10" t="s">
        <v>414</v>
      </c>
      <c r="D9" s="10" t="s">
        <v>415</v>
      </c>
      <c r="E9" s="10" t="s">
        <v>416</v>
      </c>
      <c r="F9" s="10" t="s">
        <v>417</v>
      </c>
      <c r="G9" s="10" t="s">
        <v>417</v>
      </c>
      <c r="H9" s="10" t="s">
        <v>418</v>
      </c>
      <c r="I9" s="10" t="s">
        <v>418</v>
      </c>
    </row>
    <row r="10" customFormat="false" ht="15" hidden="false" customHeight="false" outlineLevel="0" collapsed="false">
      <c r="A10" s="53" t="s">
        <v>419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144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420</v>
      </c>
      <c r="B12" s="53"/>
      <c r="C12" s="80" t="s">
        <v>421</v>
      </c>
      <c r="D12" s="80" t="s">
        <v>421</v>
      </c>
      <c r="E12" s="80" t="s">
        <v>422</v>
      </c>
      <c r="F12" s="80" t="s">
        <v>423</v>
      </c>
      <c r="G12" s="80" t="s">
        <v>423</v>
      </c>
      <c r="H12" s="80" t="s">
        <v>424</v>
      </c>
      <c r="I12" s="80" t="s">
        <v>424</v>
      </c>
    </row>
    <row r="13" customFormat="false" ht="15" hidden="false" customHeight="false" outlineLevel="0" collapsed="false">
      <c r="A13" s="54" t="s">
        <v>425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426</v>
      </c>
      <c r="B14" s="54" t="s">
        <v>338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427</v>
      </c>
      <c r="B15" s="54" t="s">
        <v>257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428</v>
      </c>
      <c r="B16" s="54" t="s">
        <v>257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429</v>
      </c>
      <c r="B17" s="54" t="s">
        <v>338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430</v>
      </c>
      <c r="B18" s="53"/>
      <c r="C18" s="51" t="s">
        <v>431</v>
      </c>
      <c r="D18" s="51" t="s">
        <v>431</v>
      </c>
      <c r="E18" s="51" t="s">
        <v>432</v>
      </c>
      <c r="F18" s="51" t="s">
        <v>433</v>
      </c>
      <c r="G18" s="51" t="s">
        <v>433</v>
      </c>
      <c r="H18" s="51" t="s">
        <v>434</v>
      </c>
      <c r="I18" s="51" t="s">
        <v>434</v>
      </c>
    </row>
    <row r="19" customFormat="false" ht="26.85" hidden="false" customHeight="false" outlineLevel="0" collapsed="false">
      <c r="A19" s="53" t="s">
        <v>435</v>
      </c>
      <c r="B19" s="53"/>
      <c r="C19" s="80" t="s">
        <v>436</v>
      </c>
      <c r="D19" s="80" t="s">
        <v>436</v>
      </c>
      <c r="E19" s="80" t="s">
        <v>436</v>
      </c>
      <c r="F19" s="80" t="s">
        <v>436</v>
      </c>
      <c r="G19" s="80" t="s">
        <v>436</v>
      </c>
      <c r="H19" s="80" t="s">
        <v>436</v>
      </c>
      <c r="I19" s="80" t="s">
        <v>436</v>
      </c>
      <c r="J19" s="86" t="s">
        <v>437</v>
      </c>
    </row>
    <row r="20" customFormat="false" ht="30" hidden="false" customHeight="true" outlineLevel="0" collapsed="false">
      <c r="A20" s="53" t="s">
        <v>438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3" t="s">
        <v>439</v>
      </c>
      <c r="B21" s="53"/>
      <c r="C21" s="86" t="s">
        <v>440</v>
      </c>
      <c r="D21" s="86" t="s">
        <v>440</v>
      </c>
      <c r="E21" s="86" t="s">
        <v>440</v>
      </c>
      <c r="F21" s="86" t="s">
        <v>440</v>
      </c>
      <c r="G21" s="86" t="s">
        <v>440</v>
      </c>
      <c r="H21" s="86" t="s">
        <v>440</v>
      </c>
      <c r="I21" s="86" t="s">
        <v>440</v>
      </c>
    </row>
    <row r="22" customFormat="false" ht="15" hidden="false" customHeight="false" outlineLevel="0" collapsed="false">
      <c r="A22" s="68" t="s">
        <v>441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442</v>
      </c>
      <c r="B23" s="54" t="s">
        <v>443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444</v>
      </c>
      <c r="B24" s="54" t="s">
        <v>282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445</v>
      </c>
      <c r="B25" s="54" t="s">
        <v>446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447</v>
      </c>
      <c r="B26" s="54" t="s">
        <v>446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448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449</v>
      </c>
      <c r="B28" s="54" t="s">
        <v>236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450</v>
      </c>
      <c r="B29" s="54" t="s">
        <v>236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239</v>
      </c>
      <c r="B30" s="54" t="s">
        <v>236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241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244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451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452</v>
      </c>
      <c r="B34" s="54" t="s">
        <v>236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278</v>
      </c>
      <c r="B35" s="54" t="s">
        <v>236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453</v>
      </c>
      <c r="B36" s="54" t="s">
        <v>236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454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254</v>
      </c>
      <c r="B38" s="54" t="s">
        <v>79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455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456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457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345</v>
      </c>
      <c r="B42" s="54" t="s">
        <v>257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458</v>
      </c>
      <c r="B43" s="54" t="s">
        <v>257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459</v>
      </c>
      <c r="B44" s="54" t="s">
        <v>460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346</v>
      </c>
      <c r="B45" s="54" t="s">
        <v>257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461</v>
      </c>
      <c r="B46" s="54" t="s">
        <v>257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462</v>
      </c>
      <c r="B47" s="54" t="s">
        <v>460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463</v>
      </c>
      <c r="B48" s="54" t="s">
        <v>282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464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465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466</v>
      </c>
      <c r="B51" s="54" t="s">
        <v>282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467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468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469</v>
      </c>
      <c r="B54" s="54" t="s">
        <v>338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470</v>
      </c>
      <c r="B55" s="54" t="s">
        <v>471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472</v>
      </c>
      <c r="B56" s="54" t="s">
        <v>338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473</v>
      </c>
    </row>
    <row r="57" customFormat="false" ht="15" hidden="false" customHeight="false" outlineLevel="0" collapsed="false">
      <c r="A57" s="53" t="s">
        <v>474</v>
      </c>
      <c r="B57" s="53" t="s">
        <v>475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476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477</v>
      </c>
      <c r="B60" s="54" t="s">
        <v>79</v>
      </c>
      <c r="C60" s="93" t="n">
        <f aca="false">(C57-D57)*C55/(1000*(C53/C14-D53/D14))</f>
        <v>0.0357550334998836</v>
      </c>
      <c r="J60" s="51" t="s">
        <v>478</v>
      </c>
    </row>
    <row r="61" customFormat="false" ht="15" hidden="false" customHeight="false" outlineLevel="0" collapsed="false">
      <c r="A61" s="53" t="s">
        <v>479</v>
      </c>
      <c r="B61" s="54" t="s">
        <v>471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480</v>
      </c>
      <c r="B62" s="54" t="s">
        <v>481</v>
      </c>
      <c r="C62" s="63" t="n">
        <f aca="false">(C61-C51/C25)*1000/(C31+C52)</f>
        <v>161.185338133698</v>
      </c>
      <c r="J62" s="66" t="s">
        <v>482</v>
      </c>
    </row>
    <row r="63" customFormat="false" ht="15" hidden="false" customHeight="false" outlineLevel="0" collapsed="false">
      <c r="A63" s="53" t="s">
        <v>483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484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10" t="s">
        <v>144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52.2" hidden="false" customHeight="false" outlineLevel="0" collapsed="false">
      <c r="A67" s="54" t="s">
        <v>485</v>
      </c>
      <c r="B67" s="54" t="s">
        <v>83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486</v>
      </c>
    </row>
    <row r="68" customFormat="false" ht="15" hidden="false" customHeight="false" outlineLevel="0" collapsed="false">
      <c r="A68" s="53" t="s">
        <v>487</v>
      </c>
      <c r="B68" s="54" t="s">
        <v>83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488</v>
      </c>
    </row>
    <row r="69" customFormat="false" ht="26.85" hidden="false" customHeight="false" outlineLevel="0" collapsed="false">
      <c r="A69" s="54" t="s">
        <v>489</v>
      </c>
      <c r="B69" s="54" t="s">
        <v>83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490</v>
      </c>
    </row>
    <row r="70" customFormat="false" ht="15" hidden="false" customHeight="false" outlineLevel="0" collapsed="false">
      <c r="A70" s="54" t="s">
        <v>491</v>
      </c>
      <c r="B70" s="54" t="s">
        <v>79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492</v>
      </c>
      <c r="B71" s="54" t="s">
        <v>481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493</v>
      </c>
      <c r="B72" s="54" t="s">
        <v>79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494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495</v>
      </c>
      <c r="B75" s="54" t="s">
        <v>79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496</v>
      </c>
      <c r="B76" s="54" t="s">
        <v>481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497</v>
      </c>
      <c r="B77" s="54" t="s">
        <v>79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498</v>
      </c>
      <c r="B78" s="54" t="s">
        <v>338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499</v>
      </c>
      <c r="B79" s="54" t="s">
        <v>471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500</v>
      </c>
      <c r="B80" s="54" t="s">
        <v>471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501</v>
      </c>
      <c r="B81" s="53" t="s">
        <v>502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503</v>
      </c>
      <c r="B82" s="53" t="s">
        <v>502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504</v>
      </c>
      <c r="B83" s="53" t="s">
        <v>502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505</v>
      </c>
      <c r="B84" s="54" t="s">
        <v>338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506</v>
      </c>
      <c r="B85" s="54" t="s">
        <v>338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507</v>
      </c>
      <c r="B86" s="54" t="s">
        <v>83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508</v>
      </c>
      <c r="C87" s="86" t="s">
        <v>509</v>
      </c>
      <c r="D87" s="86" t="s">
        <v>509</v>
      </c>
      <c r="E87" s="86" t="s">
        <v>510</v>
      </c>
      <c r="F87" s="86" t="s">
        <v>511</v>
      </c>
      <c r="G87" s="86" t="s">
        <v>512</v>
      </c>
      <c r="H87" s="86" t="s">
        <v>513</v>
      </c>
      <c r="I87" s="86" t="s">
        <v>105</v>
      </c>
    </row>
    <row r="89" customFormat="false" ht="15" hidden="false" customHeight="false" outlineLevel="0" collapsed="false">
      <c r="A89" s="68" t="s">
        <v>514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515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516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517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518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519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520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521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522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523</v>
      </c>
    </row>
    <row r="100" customFormat="false" ht="26.85" hidden="false" customHeight="false" outlineLevel="0" collapsed="false">
      <c r="A100" s="53" t="s">
        <v>235</v>
      </c>
      <c r="B100" s="54" t="s">
        <v>236</v>
      </c>
      <c r="C100" s="55" t="n">
        <f aca="false">SRC_MOD_020</f>
        <v>671</v>
      </c>
      <c r="J100" s="80" t="s">
        <v>524</v>
      </c>
    </row>
    <row r="101" customFormat="false" ht="15" hidden="false" customHeight="false" outlineLevel="0" collapsed="false">
      <c r="A101" s="53" t="s">
        <v>239</v>
      </c>
      <c r="B101" s="54" t="s">
        <v>236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241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244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250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525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252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253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526</v>
      </c>
      <c r="B108" s="54" t="s">
        <v>236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527</v>
      </c>
      <c r="B109" s="54" t="s">
        <v>280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528</v>
      </c>
      <c r="B110" s="54" t="s">
        <v>257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529</v>
      </c>
      <c r="B111" s="54" t="s">
        <v>257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275</v>
      </c>
      <c r="B112" s="54" t="s">
        <v>236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452</v>
      </c>
      <c r="B113" s="54" t="s">
        <v>236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278</v>
      </c>
      <c r="B114" s="54" t="s">
        <v>236</v>
      </c>
      <c r="C114" s="60" t="n">
        <f aca="false">C100-C113</f>
        <v>657.008064516129</v>
      </c>
    </row>
    <row r="116" customFormat="false" ht="30" hidden="false" customHeight="true" outlineLevel="0" collapsed="false">
      <c r="A116" s="10" t="s">
        <v>530</v>
      </c>
      <c r="C116" s="77" t="s">
        <v>531</v>
      </c>
      <c r="D116" s="77" t="s">
        <v>532</v>
      </c>
      <c r="E116" s="77" t="s">
        <v>533</v>
      </c>
      <c r="F116" s="77" t="s">
        <v>534</v>
      </c>
    </row>
    <row r="117" customFormat="false" ht="15" hidden="false" customHeight="false" outlineLevel="0" collapsed="false">
      <c r="A117" s="53" t="s">
        <v>419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535</v>
      </c>
      <c r="B118" s="54" t="s">
        <v>338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536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537</v>
      </c>
    </row>
    <row r="120" customFormat="false" ht="26.85" hidden="false" customHeight="false" outlineLevel="0" collapsed="false">
      <c r="A120" s="54" t="s">
        <v>538</v>
      </c>
      <c r="B120" s="54" t="s">
        <v>539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540</v>
      </c>
    </row>
    <row r="121" customFormat="false" ht="30" hidden="false" customHeight="true" outlineLevel="0" collapsed="false">
      <c r="A121" s="53" t="s">
        <v>435</v>
      </c>
      <c r="C121" s="80" t="s">
        <v>541</v>
      </c>
      <c r="D121" s="80" t="s">
        <v>541</v>
      </c>
      <c r="E121" s="80" t="s">
        <v>542</v>
      </c>
      <c r="F121" s="80" t="s">
        <v>541</v>
      </c>
    </row>
    <row r="122" customFormat="false" ht="15" hidden="false" customHeight="false" outlineLevel="0" collapsed="false">
      <c r="A122" s="53" t="s">
        <v>144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439</v>
      </c>
      <c r="C123" s="66" t="s">
        <v>543</v>
      </c>
      <c r="D123" s="66" t="s">
        <v>543</v>
      </c>
      <c r="E123" s="66" t="s">
        <v>543</v>
      </c>
      <c r="F123" s="66" t="s">
        <v>543</v>
      </c>
    </row>
    <row r="124" customFormat="false" ht="15" hidden="false" customHeight="false" outlineLevel="0" collapsed="false">
      <c r="A124" s="53" t="s">
        <v>442</v>
      </c>
      <c r="B124" s="54" t="s">
        <v>544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545</v>
      </c>
      <c r="B125" s="54" t="s">
        <v>282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445</v>
      </c>
      <c r="B126" s="54" t="s">
        <v>446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546</v>
      </c>
      <c r="B127" s="54" t="s">
        <v>446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547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548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549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463</v>
      </c>
      <c r="B131" s="54" t="s">
        <v>282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550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465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466</v>
      </c>
      <c r="B134" s="54" t="s">
        <v>282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345</v>
      </c>
      <c r="B135" s="54" t="s">
        <v>257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459</v>
      </c>
      <c r="B136" s="54" t="s">
        <v>460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462</v>
      </c>
      <c r="B137" s="54" t="s">
        <v>460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551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552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495</v>
      </c>
      <c r="B140" s="54" t="s">
        <v>79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496</v>
      </c>
      <c r="B141" s="54" t="s">
        <v>481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497</v>
      </c>
      <c r="B142" s="54" t="s">
        <v>79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498</v>
      </c>
      <c r="B143" s="54" t="s">
        <v>338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499</v>
      </c>
      <c r="B144" s="54" t="s">
        <v>471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500</v>
      </c>
      <c r="B145" s="54" t="s">
        <v>471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504</v>
      </c>
      <c r="B146" s="53" t="s">
        <v>502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505</v>
      </c>
      <c r="B147" s="54" t="s">
        <v>338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553</v>
      </c>
      <c r="B148" s="54" t="s">
        <v>338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554</v>
      </c>
      <c r="B149" s="54" t="s">
        <v>83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6.85" hidden="false" customHeight="false" outlineLevel="0" collapsed="false">
      <c r="A150" s="54" t="s">
        <v>555</v>
      </c>
      <c r="C150" s="97" t="n">
        <f aca="false">E148/C148</f>
        <v>2.5251262330147</v>
      </c>
      <c r="J150" s="80" t="s">
        <v>556</v>
      </c>
    </row>
    <row r="151" customFormat="false" ht="15" hidden="false" customHeight="false" outlineLevel="0" collapsed="false">
      <c r="A151" s="54" t="s">
        <v>557</v>
      </c>
      <c r="C151" s="97" t="n">
        <f aca="false">E120/C120</f>
        <v>2.5748897461993</v>
      </c>
    </row>
    <row r="152" customFormat="false" ht="26.85" hidden="false" customHeight="false" outlineLevel="0" collapsed="false">
      <c r="A152" s="54" t="s">
        <v>558</v>
      </c>
      <c r="C152" s="69" t="n">
        <f aca="false">C148/D148</f>
        <v>1.5</v>
      </c>
      <c r="D152" s="69" t="n">
        <f aca="false">C120/D120</f>
        <v>1.05487728759394</v>
      </c>
      <c r="J152" s="86" t="s">
        <v>559</v>
      </c>
    </row>
    <row r="154" customFormat="false" ht="15" hidden="false" customHeight="false" outlineLevel="0" collapsed="false">
      <c r="A154" s="68" t="s">
        <v>560</v>
      </c>
      <c r="B154" s="62"/>
      <c r="C154" s="62"/>
      <c r="D154" s="62"/>
      <c r="E154" s="62"/>
      <c r="F154" s="62"/>
      <c r="G154" s="62"/>
      <c r="H154" s="62"/>
      <c r="I154" s="62"/>
      <c r="J154" s="62"/>
    </row>
    <row r="155" customFormat="false" ht="15" hidden="false" customHeight="false" outlineLevel="0" collapsed="false">
      <c r="A155" s="10" t="s">
        <v>144</v>
      </c>
      <c r="B155" s="10" t="s">
        <v>63</v>
      </c>
      <c r="C155" s="85" t="str">
        <f aca="false">Spec_Rack!C4</f>
        <v>Hopper H100</v>
      </c>
      <c r="D155" s="85" t="str">
        <f aca="false">Spec_Rack!D4</f>
        <v>GB200 NVL72</v>
      </c>
      <c r="E155" s="85" t="str">
        <f aca="false">Spec_Rack!E4</f>
        <v>GB300 NVL72</v>
      </c>
      <c r="F155" s="85" t="str">
        <f aca="false">Spec_Rack!F4</f>
        <v>VR200 NVL72</v>
      </c>
      <c r="G155" s="85" t="str">
        <f aca="false">Spec_Rack!G4</f>
        <v>Rubin Ultra（MGX NVL 單架，72 GPU）</v>
      </c>
    </row>
    <row r="156" customFormat="false" ht="52.2" hidden="false" customHeight="false" outlineLevel="0" collapsed="false">
      <c r="A156" s="53" t="s">
        <v>561</v>
      </c>
      <c r="B156" s="54" t="s">
        <v>83</v>
      </c>
      <c r="C156" s="69" t="n">
        <v>1</v>
      </c>
      <c r="D156" s="69" t="n">
        <v>1</v>
      </c>
      <c r="E156" s="69" t="n">
        <v>1</v>
      </c>
      <c r="F156" s="71" t="n">
        <v>0.75</v>
      </c>
      <c r="G156" s="69" t="n">
        <v>1</v>
      </c>
      <c r="H156" s="51" t="s">
        <v>562</v>
      </c>
      <c r="J156" s="80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0" t="s">
        <v>564</v>
      </c>
    </row>
    <row r="2" customFormat="false" ht="15" hidden="false" customHeight="false" outlineLevel="0" collapsed="false">
      <c r="A2" s="66" t="s">
        <v>565</v>
      </c>
    </row>
    <row r="4" customFormat="false" ht="30" hidden="false" customHeight="true" outlineLevel="0" collapsed="false">
      <c r="A4" s="77" t="s">
        <v>566</v>
      </c>
      <c r="B4" s="76" t="s">
        <v>567</v>
      </c>
      <c r="C4" s="76" t="s">
        <v>568</v>
      </c>
      <c r="D4" s="76" t="s">
        <v>569</v>
      </c>
      <c r="E4" s="76" t="s">
        <v>570</v>
      </c>
      <c r="F4" s="76" t="s">
        <v>571</v>
      </c>
      <c r="G4" s="76" t="s">
        <v>572</v>
      </c>
      <c r="H4" s="76" t="s">
        <v>573</v>
      </c>
      <c r="I4" s="76" t="s">
        <v>574</v>
      </c>
      <c r="J4" s="76" t="s">
        <v>575</v>
      </c>
      <c r="K4" s="76" t="s">
        <v>576</v>
      </c>
      <c r="L4" s="77" t="s">
        <v>577</v>
      </c>
      <c r="M4" s="76" t="s">
        <v>578</v>
      </c>
      <c r="N4" s="76" t="s">
        <v>579</v>
      </c>
      <c r="O4" s="76" t="s">
        <v>580</v>
      </c>
      <c r="P4" s="76" t="s">
        <v>581</v>
      </c>
      <c r="Q4" s="76" t="s">
        <v>582</v>
      </c>
      <c r="R4" s="76" t="s">
        <v>68</v>
      </c>
      <c r="S4" s="76" t="s">
        <v>583</v>
      </c>
      <c r="T4" s="76" t="s">
        <v>584</v>
      </c>
    </row>
    <row r="5" customFormat="false" ht="42" hidden="false" customHeight="true" outlineLevel="0" collapsed="false">
      <c r="A5" s="54" t="s">
        <v>585</v>
      </c>
      <c r="B5" s="6" t="s">
        <v>586</v>
      </c>
      <c r="C5" s="54" t="s">
        <v>587</v>
      </c>
      <c r="D5" s="54" t="s">
        <v>588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589</v>
      </c>
      <c r="J5" s="59" t="n">
        <v>3</v>
      </c>
      <c r="K5" s="53" t="str">
        <f aca="false">IF(J5&gt;=CST_MainMin,"主流","非主流")</f>
        <v>主流</v>
      </c>
      <c r="L5" s="98"/>
      <c r="M5" s="98" t="s">
        <v>590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1" t="s">
        <v>115</v>
      </c>
      <c r="R5" s="80" t="s">
        <v>591</v>
      </c>
      <c r="S5" s="80" t="s">
        <v>587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592</v>
      </c>
      <c r="B6" s="5" t="s">
        <v>593</v>
      </c>
      <c r="C6" s="54" t="s">
        <v>587</v>
      </c>
      <c r="D6" s="54" t="s">
        <v>594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589</v>
      </c>
      <c r="J6" s="59" t="n">
        <v>3</v>
      </c>
      <c r="K6" s="53" t="str">
        <f aca="false">IF(J6&gt;=CST_MainMin,"主流","非主流")</f>
        <v>主流</v>
      </c>
      <c r="L6" s="98"/>
      <c r="M6" s="98" t="s">
        <v>590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1" t="s">
        <v>115</v>
      </c>
      <c r="R6" s="80" t="s">
        <v>595</v>
      </c>
      <c r="S6" s="80" t="s">
        <v>587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596</v>
      </c>
      <c r="B7" s="6" t="s">
        <v>597</v>
      </c>
      <c r="C7" s="54" t="s">
        <v>587</v>
      </c>
      <c r="D7" s="54" t="s">
        <v>598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589</v>
      </c>
      <c r="J7" s="59" t="n">
        <v>2</v>
      </c>
      <c r="K7" s="53" t="str">
        <f aca="false">IF(J7&gt;=CST_MainMin,"主流","非主流")</f>
        <v>主流</v>
      </c>
      <c r="L7" s="98"/>
      <c r="M7" s="98" t="s">
        <v>590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1" t="s">
        <v>115</v>
      </c>
      <c r="R7" s="80" t="s">
        <v>599</v>
      </c>
      <c r="S7" s="80" t="s">
        <v>587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600</v>
      </c>
      <c r="B8" s="6" t="s">
        <v>601</v>
      </c>
      <c r="C8" s="54" t="s">
        <v>587</v>
      </c>
      <c r="D8" s="54" t="s">
        <v>598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589</v>
      </c>
      <c r="J8" s="59" t="n">
        <v>2</v>
      </c>
      <c r="K8" s="53" t="str">
        <f aca="false">IF(J8&gt;=CST_MainMin,"主流","非主流")</f>
        <v>主流</v>
      </c>
      <c r="L8" s="98"/>
      <c r="M8" s="98" t="s">
        <v>590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1" t="s">
        <v>185</v>
      </c>
      <c r="R8" s="80" t="s">
        <v>602</v>
      </c>
      <c r="S8" s="80" t="s">
        <v>587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603</v>
      </c>
      <c r="B9" s="6" t="s">
        <v>604</v>
      </c>
      <c r="C9" s="54" t="s">
        <v>587</v>
      </c>
      <c r="D9" s="54" t="s">
        <v>605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589</v>
      </c>
      <c r="J9" s="59" t="n">
        <v>2</v>
      </c>
      <c r="K9" s="53" t="str">
        <f aca="false">IF(J9&gt;=CST_MainMin,"主流","非主流")</f>
        <v>主流</v>
      </c>
      <c r="L9" s="98"/>
      <c r="M9" s="98" t="s">
        <v>590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1" t="s">
        <v>185</v>
      </c>
      <c r="R9" s="80" t="s">
        <v>606</v>
      </c>
      <c r="S9" s="80" t="s">
        <v>587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607</v>
      </c>
      <c r="B10" s="6" t="s">
        <v>608</v>
      </c>
      <c r="C10" s="54" t="s">
        <v>609</v>
      </c>
      <c r="D10" s="53" t="s">
        <v>610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611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590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1" t="s">
        <v>185</v>
      </c>
      <c r="R10" s="80" t="s">
        <v>612</v>
      </c>
      <c r="S10" s="86" t="s">
        <v>613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614</v>
      </c>
      <c r="B11" s="6" t="s">
        <v>615</v>
      </c>
      <c r="C11" s="54" t="s">
        <v>616</v>
      </c>
      <c r="D11" s="53" t="s">
        <v>617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611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618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1" t="s">
        <v>185</v>
      </c>
      <c r="R11" s="86" t="s">
        <v>619</v>
      </c>
      <c r="S11" s="86" t="s">
        <v>620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621</v>
      </c>
      <c r="B12" s="6" t="s">
        <v>622</v>
      </c>
      <c r="C12" s="54" t="s">
        <v>623</v>
      </c>
      <c r="D12" s="53" t="s">
        <v>624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625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618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1" t="s">
        <v>80</v>
      </c>
      <c r="R12" s="86" t="s">
        <v>626</v>
      </c>
      <c r="S12" s="86" t="s">
        <v>627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628</v>
      </c>
      <c r="B13" s="6" t="s">
        <v>629</v>
      </c>
      <c r="C13" s="54" t="s">
        <v>630</v>
      </c>
      <c r="D13" s="53" t="s">
        <v>631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625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618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1" t="s">
        <v>80</v>
      </c>
      <c r="R13" s="86" t="s">
        <v>632</v>
      </c>
      <c r="S13" s="86" t="s">
        <v>633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634</v>
      </c>
      <c r="B14" s="5" t="s">
        <v>635</v>
      </c>
      <c r="C14" s="54" t="s">
        <v>636</v>
      </c>
      <c r="D14" s="54" t="s">
        <v>637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589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590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1" t="s">
        <v>185</v>
      </c>
      <c r="R14" s="86" t="s">
        <v>638</v>
      </c>
      <c r="S14" s="86" t="s">
        <v>639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640</v>
      </c>
      <c r="B15" s="6" t="s">
        <v>641</v>
      </c>
      <c r="C15" s="54" t="s">
        <v>642</v>
      </c>
      <c r="D15" s="54" t="s">
        <v>453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611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618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1" t="s">
        <v>80</v>
      </c>
      <c r="R15" s="80" t="s">
        <v>643</v>
      </c>
      <c r="S15" s="86" t="s">
        <v>644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645</v>
      </c>
      <c r="B16" s="6" t="s">
        <v>646</v>
      </c>
      <c r="C16" s="54" t="s">
        <v>647</v>
      </c>
      <c r="D16" s="54" t="s">
        <v>648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649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618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1" t="s">
        <v>80</v>
      </c>
      <c r="R16" s="80" t="s">
        <v>650</v>
      </c>
      <c r="S16" s="86" t="s">
        <v>651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3" t="s">
        <v>652</v>
      </c>
      <c r="B17" s="5" t="s">
        <v>653</v>
      </c>
      <c r="J17" s="59" t="n">
        <v>2</v>
      </c>
      <c r="Q17" s="51" t="s">
        <v>72</v>
      </c>
      <c r="R17" s="80" t="s">
        <v>654</v>
      </c>
    </row>
    <row r="18" customFormat="false" ht="15" hidden="false" customHeight="false" outlineLevel="0" collapsed="false">
      <c r="A18" s="61" t="s">
        <v>655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10" t="s">
        <v>656</v>
      </c>
      <c r="B19" s="10" t="s">
        <v>657</v>
      </c>
      <c r="C19" s="10"/>
      <c r="D19" s="10" t="s">
        <v>658</v>
      </c>
      <c r="E19" s="10" t="s">
        <v>659</v>
      </c>
    </row>
    <row r="20" customFormat="false" ht="15" hidden="false" customHeight="false" outlineLevel="0" collapsed="false">
      <c r="A20" s="52" t="s">
        <v>660</v>
      </c>
      <c r="B20" s="54" t="s">
        <v>661</v>
      </c>
      <c r="D20" s="80" t="s">
        <v>662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630</v>
      </c>
      <c r="B21" s="53" t="s">
        <v>487</v>
      </c>
      <c r="D21" s="80" t="s">
        <v>663</v>
      </c>
      <c r="E21" s="99" t="n">
        <f aca="false">EXP(SUMPRODUCT(($C$5:$C$16="H_TL")*LN($P$5:$P$16)))</f>
        <v>1</v>
      </c>
    </row>
    <row r="22" customFormat="false" ht="26.85" hidden="false" customHeight="false" outlineLevel="0" collapsed="false">
      <c r="A22" s="52" t="s">
        <v>623</v>
      </c>
      <c r="B22" s="53" t="s">
        <v>664</v>
      </c>
      <c r="D22" s="80" t="s">
        <v>665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642</v>
      </c>
      <c r="B23" s="54" t="s">
        <v>666</v>
      </c>
      <c r="D23" s="80" t="s">
        <v>667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668</v>
      </c>
      <c r="B24" s="53" t="s">
        <v>669</v>
      </c>
      <c r="D24" s="80" t="s">
        <v>670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616</v>
      </c>
      <c r="B25" s="53" t="s">
        <v>671</v>
      </c>
      <c r="D25" s="80" t="s">
        <v>672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673</v>
      </c>
      <c r="B26" s="53" t="s">
        <v>674</v>
      </c>
      <c r="D26" s="80" t="s">
        <v>675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609</v>
      </c>
      <c r="B27" s="53" t="s">
        <v>676</v>
      </c>
      <c r="D27" s="80" t="s">
        <v>677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636</v>
      </c>
      <c r="B28" s="54" t="s">
        <v>678</v>
      </c>
      <c r="D28" s="80" t="s">
        <v>679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680</v>
      </c>
      <c r="B29" s="53" t="s">
        <v>681</v>
      </c>
      <c r="D29" s="80" t="s">
        <v>682</v>
      </c>
      <c r="E29" s="99" t="n">
        <f aca="false">EXP(SUMPRODUCT(($C$5:$C$16="H_CAP")*LN($P$5:$P$16)))</f>
        <v>1</v>
      </c>
    </row>
    <row r="30" customFormat="false" ht="24.6" hidden="false" customHeight="false" outlineLevel="0" collapsed="false">
      <c r="A30" s="52" t="s">
        <v>647</v>
      </c>
      <c r="B30" s="54" t="s">
        <v>683</v>
      </c>
      <c r="D30" s="80" t="s">
        <v>684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685</v>
      </c>
      <c r="B32" s="100" t="s">
        <v>686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0" t="s">
        <v>687</v>
      </c>
    </row>
    <row r="2" customFormat="false" ht="15" hidden="false" customHeight="false" outlineLevel="0" collapsed="false">
      <c r="A2" s="51" t="s">
        <v>688</v>
      </c>
    </row>
    <row r="4" customFormat="false" ht="15" hidden="false" customHeight="false" outlineLevel="0" collapsed="false">
      <c r="A4" s="10" t="s">
        <v>144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689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10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10" t="s">
        <v>690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691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692</v>
      </c>
      <c r="B10" s="54" t="s">
        <v>83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693</v>
      </c>
      <c r="B11" s="54" t="s">
        <v>83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694</v>
      </c>
      <c r="B12" s="54" t="s">
        <v>83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695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442</v>
      </c>
      <c r="B14" s="54" t="s">
        <v>443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444</v>
      </c>
      <c r="B15" s="54" t="s">
        <v>696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445</v>
      </c>
      <c r="B16" s="54" t="s">
        <v>327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697</v>
      </c>
      <c r="B17" s="54" t="s">
        <v>327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204</v>
      </c>
      <c r="B18" s="54" t="s">
        <v>698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699</v>
      </c>
      <c r="B19" s="54" t="s">
        <v>236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700</v>
      </c>
      <c r="B20" s="54" t="s">
        <v>236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701</v>
      </c>
      <c r="B21" s="54" t="s">
        <v>698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157</v>
      </c>
      <c r="B22" s="53" t="s">
        <v>702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703</v>
      </c>
      <c r="B23" s="54" t="s">
        <v>704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705</v>
      </c>
      <c r="B24" s="54" t="s">
        <v>706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707</v>
      </c>
      <c r="B25" s="53" t="s">
        <v>708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709</v>
      </c>
      <c r="B26" s="54" t="s">
        <v>710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711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239</v>
      </c>
      <c r="B28" s="54" t="s">
        <v>236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241</v>
      </c>
      <c r="B29" s="53" t="s">
        <v>242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244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712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452</v>
      </c>
      <c r="B32" s="54" t="s">
        <v>236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278</v>
      </c>
      <c r="B33" s="54" t="s">
        <v>236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713</v>
      </c>
      <c r="B34" s="54" t="s">
        <v>236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454</v>
      </c>
      <c r="B35" s="54" t="s">
        <v>280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254</v>
      </c>
      <c r="B36" s="54" t="s">
        <v>79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714</v>
      </c>
      <c r="B37" s="54" t="s">
        <v>257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260</v>
      </c>
      <c r="B38" s="54" t="s">
        <v>83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262</v>
      </c>
      <c r="B39" s="54" t="s">
        <v>257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715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337</v>
      </c>
      <c r="B41" s="54" t="s">
        <v>338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716</v>
      </c>
      <c r="B42" s="54" t="s">
        <v>341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717</v>
      </c>
      <c r="B43" s="54" t="s">
        <v>257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344</v>
      </c>
      <c r="B44" s="54" t="s">
        <v>257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345</v>
      </c>
      <c r="B45" s="54" t="s">
        <v>257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346</v>
      </c>
      <c r="B46" s="54" t="s">
        <v>257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718</v>
      </c>
      <c r="B47" s="54" t="s">
        <v>257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719</v>
      </c>
      <c r="B48" s="54" t="s">
        <v>79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720</v>
      </c>
      <c r="B49" s="54" t="s">
        <v>257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333</v>
      </c>
      <c r="B50" s="54" t="s">
        <v>83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4" t="s">
        <v>79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722</v>
      </c>
      <c r="B52" s="54" t="s">
        <v>83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723</v>
      </c>
      <c r="B53" s="54" t="s">
        <v>79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724</v>
      </c>
      <c r="B54" s="54" t="s">
        <v>83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725</v>
      </c>
      <c r="B55" s="54" t="s">
        <v>481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726</v>
      </c>
      <c r="B56" s="54" t="s">
        <v>79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727</v>
      </c>
      <c r="B57" s="54" t="s">
        <v>79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728</v>
      </c>
      <c r="B58" s="54" t="s">
        <v>79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729</v>
      </c>
      <c r="B59" s="54" t="s">
        <v>236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730</v>
      </c>
      <c r="B60" s="54" t="s">
        <v>79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731</v>
      </c>
      <c r="B61" s="54" t="s">
        <v>79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732</v>
      </c>
      <c r="B62" s="54" t="s">
        <v>446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733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734</v>
      </c>
      <c r="B64" s="54" t="s">
        <v>257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459</v>
      </c>
      <c r="B65" s="54" t="s">
        <v>460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735</v>
      </c>
      <c r="B66" s="54" t="s">
        <v>257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462</v>
      </c>
      <c r="B67" s="54" t="s">
        <v>460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736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463</v>
      </c>
      <c r="B69" s="54" t="s">
        <v>282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737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738</v>
      </c>
      <c r="B71" s="54" t="s">
        <v>698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466</v>
      </c>
      <c r="B72" s="54" t="s">
        <v>282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739</v>
      </c>
      <c r="B73" s="54" t="s">
        <v>79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740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741</v>
      </c>
      <c r="B75" s="54" t="s">
        <v>338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742</v>
      </c>
      <c r="B76" s="54" t="s">
        <v>341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743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744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745</v>
      </c>
      <c r="B79" s="54" t="s">
        <v>471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746</v>
      </c>
      <c r="B80" s="54" t="s">
        <v>471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747</v>
      </c>
      <c r="B81" s="54" t="s">
        <v>471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748</v>
      </c>
      <c r="B82" s="54" t="s">
        <v>471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749</v>
      </c>
      <c r="B83" s="54" t="s">
        <v>471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750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751</v>
      </c>
      <c r="B85" s="53" t="s">
        <v>475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752</v>
      </c>
      <c r="B86" s="53" t="s">
        <v>475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753</v>
      </c>
      <c r="B87" s="53" t="s">
        <v>475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754</v>
      </c>
      <c r="B88" s="54" t="s">
        <v>338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755</v>
      </c>
      <c r="B89" s="54" t="s">
        <v>338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756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757</v>
      </c>
      <c r="B91" s="54" t="s">
        <v>79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759</v>
      </c>
      <c r="B93" s="54" t="s">
        <v>760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761</v>
      </c>
      <c r="B94" s="54" t="s">
        <v>79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762</v>
      </c>
      <c r="B95" s="54" t="s">
        <v>338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763</v>
      </c>
      <c r="B96" s="54" t="s">
        <v>338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764</v>
      </c>
      <c r="B97" s="54" t="s">
        <v>338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765</v>
      </c>
      <c r="B98" s="54" t="s">
        <v>766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767</v>
      </c>
      <c r="B99" s="54" t="s">
        <v>766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769</v>
      </c>
      <c r="B101" s="54" t="s">
        <v>770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771</v>
      </c>
      <c r="B102" s="54" t="s">
        <v>770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772</v>
      </c>
      <c r="B103" s="54" t="s">
        <v>770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773</v>
      </c>
      <c r="B104" s="54" t="s">
        <v>774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775</v>
      </c>
      <c r="B105" s="54" t="s">
        <v>774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776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777</v>
      </c>
      <c r="B107" s="54" t="s">
        <v>778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779</v>
      </c>
      <c r="B108" s="54" t="s">
        <v>706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780</v>
      </c>
      <c r="B109" s="54" t="s">
        <v>460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781</v>
      </c>
      <c r="B110" s="54" t="s">
        <v>282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782</v>
      </c>
      <c r="B111" s="54" t="s">
        <v>282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783</v>
      </c>
      <c r="B112" s="54" t="s">
        <v>784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785</v>
      </c>
      <c r="B113" s="54" t="s">
        <v>784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786</v>
      </c>
      <c r="B114" s="54" t="s">
        <v>710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787</v>
      </c>
      <c r="B115" s="54" t="s">
        <v>710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788</v>
      </c>
      <c r="B116" s="54" t="s">
        <v>79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789</v>
      </c>
      <c r="B117" s="54" t="s">
        <v>790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791</v>
      </c>
      <c r="B118" s="54" t="s">
        <v>784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792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793</v>
      </c>
      <c r="B120" s="54" t="s">
        <v>83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0" t="s">
        <v>794</v>
      </c>
    </row>
    <row r="2" customFormat="false" ht="15" hidden="false" customHeight="false" outlineLevel="0" collapsed="false">
      <c r="A2" s="66" t="s">
        <v>795</v>
      </c>
    </row>
    <row r="3" customFormat="false" ht="43.5" hidden="false" customHeight="true" outlineLevel="0" collapsed="false">
      <c r="A3" s="10" t="s">
        <v>796</v>
      </c>
      <c r="C3" s="113" t="s">
        <v>65</v>
      </c>
      <c r="D3" s="113"/>
      <c r="E3" s="114" t="s">
        <v>797</v>
      </c>
      <c r="F3" s="114"/>
      <c r="G3" s="114" t="s">
        <v>798</v>
      </c>
      <c r="H3" s="114"/>
      <c r="I3" s="114" t="s">
        <v>799</v>
      </c>
      <c r="J3" s="114"/>
      <c r="K3" s="114" t="s">
        <v>800</v>
      </c>
      <c r="L3" s="114"/>
      <c r="M3" s="114" t="s">
        <v>801</v>
      </c>
      <c r="N3" s="114"/>
      <c r="O3" s="114" t="s">
        <v>802</v>
      </c>
      <c r="P3" s="114"/>
      <c r="Q3" s="114" t="s">
        <v>803</v>
      </c>
      <c r="R3" s="114"/>
      <c r="S3" s="114" t="s">
        <v>804</v>
      </c>
      <c r="T3" s="114"/>
      <c r="U3" s="114" t="s">
        <v>805</v>
      </c>
      <c r="V3" s="114"/>
      <c r="W3" s="114" t="s">
        <v>806</v>
      </c>
      <c r="X3" s="114"/>
      <c r="Y3" s="114" t="s">
        <v>807</v>
      </c>
      <c r="Z3" s="114"/>
      <c r="AA3" s="113" t="s">
        <v>808</v>
      </c>
      <c r="AB3" s="113"/>
      <c r="AC3" s="114" t="s">
        <v>809</v>
      </c>
      <c r="AD3" s="114"/>
      <c r="AE3" s="114" t="s">
        <v>810</v>
      </c>
      <c r="AF3" s="114"/>
      <c r="AG3" s="114" t="s">
        <v>811</v>
      </c>
      <c r="AH3" s="114"/>
    </row>
    <row r="4" customFormat="false" ht="15" hidden="false" customHeight="false" outlineLevel="0" collapsed="false">
      <c r="A4" s="10" t="s">
        <v>144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10" t="s">
        <v>689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10" t="s">
        <v>419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10" t="s">
        <v>690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691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692</v>
      </c>
      <c r="B10" s="54" t="s">
        <v>83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693</v>
      </c>
      <c r="B11" s="54" t="s">
        <v>83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694</v>
      </c>
      <c r="B12" s="54" t="s">
        <v>83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695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442</v>
      </c>
      <c r="B14" s="54" t="s">
        <v>443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444</v>
      </c>
      <c r="B15" s="54" t="s">
        <v>696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445</v>
      </c>
      <c r="B16" s="54" t="s">
        <v>327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697</v>
      </c>
      <c r="B17" s="54" t="s">
        <v>327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204</v>
      </c>
      <c r="B18" s="54" t="s">
        <v>698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699</v>
      </c>
      <c r="B19" s="54" t="s">
        <v>236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700</v>
      </c>
      <c r="B20" s="54" t="s">
        <v>236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701</v>
      </c>
      <c r="B21" s="54" t="s">
        <v>698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157</v>
      </c>
      <c r="B22" s="53" t="s">
        <v>702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703</v>
      </c>
      <c r="B23" s="54" t="s">
        <v>704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705</v>
      </c>
      <c r="B24" s="54" t="s">
        <v>706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707</v>
      </c>
      <c r="B25" s="53" t="s">
        <v>708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709</v>
      </c>
      <c r="B26" s="54" t="s">
        <v>710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711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239</v>
      </c>
      <c r="B28" s="54" t="s">
        <v>236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241</v>
      </c>
      <c r="B29" s="53" t="s">
        <v>242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244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712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452</v>
      </c>
      <c r="B32" s="54" t="s">
        <v>236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278</v>
      </c>
      <c r="B33" s="54" t="s">
        <v>236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713</v>
      </c>
      <c r="B34" s="54" t="s">
        <v>236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454</v>
      </c>
      <c r="B35" s="54" t="s">
        <v>280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254</v>
      </c>
      <c r="B36" s="54" t="s">
        <v>79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714</v>
      </c>
      <c r="B37" s="54" t="s">
        <v>257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260</v>
      </c>
      <c r="B38" s="54" t="s">
        <v>83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262</v>
      </c>
      <c r="B39" s="54" t="s">
        <v>257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715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337</v>
      </c>
      <c r="B41" s="54" t="s">
        <v>338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716</v>
      </c>
      <c r="B42" s="54" t="s">
        <v>341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717</v>
      </c>
      <c r="B43" s="54" t="s">
        <v>257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344</v>
      </c>
      <c r="B44" s="54" t="s">
        <v>257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345</v>
      </c>
      <c r="B45" s="54" t="s">
        <v>257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346</v>
      </c>
      <c r="B46" s="54" t="s">
        <v>257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718</v>
      </c>
      <c r="B47" s="54" t="s">
        <v>257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719</v>
      </c>
      <c r="B48" s="54" t="s">
        <v>79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720</v>
      </c>
      <c r="B49" s="54" t="s">
        <v>257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333</v>
      </c>
      <c r="B50" s="54" t="s">
        <v>83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4" t="s">
        <v>79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722</v>
      </c>
      <c r="B52" s="54" t="s">
        <v>83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723</v>
      </c>
      <c r="B53" s="54" t="s">
        <v>79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724</v>
      </c>
      <c r="B54" s="54" t="s">
        <v>83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725</v>
      </c>
      <c r="B55" s="54" t="s">
        <v>481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726</v>
      </c>
      <c r="B56" s="54" t="s">
        <v>79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727</v>
      </c>
      <c r="B57" s="54" t="s">
        <v>79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728</v>
      </c>
      <c r="B58" s="54" t="s">
        <v>79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729</v>
      </c>
      <c r="B59" s="54" t="s">
        <v>236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730</v>
      </c>
      <c r="B60" s="54" t="s">
        <v>79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731</v>
      </c>
      <c r="B61" s="54" t="s">
        <v>79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732</v>
      </c>
      <c r="B62" s="54" t="s">
        <v>446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733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734</v>
      </c>
      <c r="B64" s="54" t="s">
        <v>257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459</v>
      </c>
      <c r="B65" s="54" t="s">
        <v>460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735</v>
      </c>
      <c r="B66" s="54" t="s">
        <v>257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462</v>
      </c>
      <c r="B67" s="54" t="s">
        <v>460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736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463</v>
      </c>
      <c r="B69" s="54" t="s">
        <v>282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737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738</v>
      </c>
      <c r="B71" s="54" t="s">
        <v>698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466</v>
      </c>
      <c r="B72" s="54" t="s">
        <v>282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739</v>
      </c>
      <c r="B73" s="54" t="s">
        <v>79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740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741</v>
      </c>
      <c r="B75" s="54" t="s">
        <v>338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742</v>
      </c>
      <c r="B76" s="54" t="s">
        <v>341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743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744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745</v>
      </c>
      <c r="B79" s="54" t="s">
        <v>471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746</v>
      </c>
      <c r="B80" s="54" t="s">
        <v>471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747</v>
      </c>
      <c r="B81" s="54" t="s">
        <v>471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748</v>
      </c>
      <c r="B82" s="54" t="s">
        <v>471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749</v>
      </c>
      <c r="B83" s="54" t="s">
        <v>471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750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751</v>
      </c>
      <c r="B85" s="53" t="s">
        <v>475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752</v>
      </c>
      <c r="B86" s="53" t="s">
        <v>475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753</v>
      </c>
      <c r="B87" s="53" t="s">
        <v>475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754</v>
      </c>
      <c r="B88" s="54" t="s">
        <v>338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755</v>
      </c>
      <c r="B89" s="54" t="s">
        <v>338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756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757</v>
      </c>
      <c r="B91" s="54" t="s">
        <v>79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759</v>
      </c>
      <c r="B93" s="54" t="s">
        <v>760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761</v>
      </c>
      <c r="B94" s="54" t="s">
        <v>79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762</v>
      </c>
      <c r="B95" s="54" t="s">
        <v>338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763</v>
      </c>
      <c r="B96" s="54" t="s">
        <v>338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764</v>
      </c>
      <c r="B97" s="54" t="s">
        <v>338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765</v>
      </c>
      <c r="B98" s="54" t="s">
        <v>766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767</v>
      </c>
      <c r="B99" s="54" t="s">
        <v>766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769</v>
      </c>
      <c r="B101" s="54" t="s">
        <v>770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771</v>
      </c>
      <c r="B102" s="54" t="s">
        <v>770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772</v>
      </c>
      <c r="B103" s="54" t="s">
        <v>770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773</v>
      </c>
      <c r="B104" s="54" t="s">
        <v>774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775</v>
      </c>
      <c r="B105" s="54" t="s">
        <v>774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776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777</v>
      </c>
      <c r="B107" s="54" t="s">
        <v>778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779</v>
      </c>
      <c r="B108" s="54" t="s">
        <v>706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780</v>
      </c>
      <c r="B109" s="54" t="s">
        <v>460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781</v>
      </c>
      <c r="B110" s="54" t="s">
        <v>282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782</v>
      </c>
      <c r="B111" s="54" t="s">
        <v>282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783</v>
      </c>
      <c r="B112" s="54" t="s">
        <v>784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785</v>
      </c>
      <c r="B113" s="54" t="s">
        <v>784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786</v>
      </c>
      <c r="B114" s="54" t="s">
        <v>710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787</v>
      </c>
      <c r="B115" s="54" t="s">
        <v>710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788</v>
      </c>
      <c r="B116" s="54" t="s">
        <v>79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789</v>
      </c>
      <c r="B117" s="54" t="s">
        <v>790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791</v>
      </c>
      <c r="B118" s="54" t="s">
        <v>784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812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813</v>
      </c>
      <c r="B120" s="54" t="s">
        <v>83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814</v>
      </c>
      <c r="B121" s="54" t="s">
        <v>83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0" t="s">
        <v>815</v>
      </c>
    </row>
    <row r="2" customFormat="false" ht="15" hidden="false" customHeight="false" outlineLevel="0" collapsed="false">
      <c r="A2" s="66" t="s">
        <v>816</v>
      </c>
    </row>
    <row r="4" customFormat="false" ht="15" hidden="false" customHeight="false" outlineLevel="0" collapsed="false">
      <c r="A4" s="10" t="s">
        <v>144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10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817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818</v>
      </c>
      <c r="B8" s="54" t="s">
        <v>819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820</v>
      </c>
      <c r="B9" s="54" t="s">
        <v>819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821</v>
      </c>
      <c r="B10" s="54" t="s">
        <v>79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822</v>
      </c>
      <c r="B13" s="54" t="s">
        <v>760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823</v>
      </c>
      <c r="B14" s="54" t="s">
        <v>760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824</v>
      </c>
      <c r="B15" s="54" t="s">
        <v>760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825</v>
      </c>
      <c r="B16" s="54" t="s">
        <v>774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826</v>
      </c>
      <c r="B17" s="54" t="s">
        <v>774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827</v>
      </c>
      <c r="B18" s="54" t="s">
        <v>774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828</v>
      </c>
      <c r="B19" s="54" t="s">
        <v>774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829</v>
      </c>
      <c r="B20" s="54" t="s">
        <v>774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830</v>
      </c>
      <c r="B21" s="54" t="s">
        <v>774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831</v>
      </c>
      <c r="B22" s="54" t="s">
        <v>774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832</v>
      </c>
      <c r="B23" s="54" t="s">
        <v>774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822</v>
      </c>
      <c r="B26" s="54" t="s">
        <v>760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823</v>
      </c>
      <c r="B27" s="54" t="s">
        <v>760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824</v>
      </c>
      <c r="B28" s="54" t="s">
        <v>760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825</v>
      </c>
      <c r="B29" s="54" t="s">
        <v>774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826</v>
      </c>
      <c r="B30" s="54" t="s">
        <v>774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827</v>
      </c>
      <c r="B31" s="54" t="s">
        <v>774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828</v>
      </c>
      <c r="B32" s="54" t="s">
        <v>774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829</v>
      </c>
      <c r="B33" s="54" t="s">
        <v>774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830</v>
      </c>
      <c r="B34" s="54" t="s">
        <v>774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831</v>
      </c>
      <c r="B35" s="54" t="s">
        <v>774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832</v>
      </c>
      <c r="B36" s="54" t="s">
        <v>774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822</v>
      </c>
      <c r="B39" s="54" t="s">
        <v>760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823</v>
      </c>
      <c r="B40" s="54" t="s">
        <v>760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824</v>
      </c>
      <c r="B41" s="54" t="s">
        <v>760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825</v>
      </c>
      <c r="B42" s="54" t="s">
        <v>774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826</v>
      </c>
      <c r="B43" s="54" t="s">
        <v>774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827</v>
      </c>
      <c r="B44" s="54" t="s">
        <v>774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828</v>
      </c>
      <c r="B45" s="54" t="s">
        <v>774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829</v>
      </c>
      <c r="B46" s="54" t="s">
        <v>774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830</v>
      </c>
      <c r="B47" s="54" t="s">
        <v>774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831</v>
      </c>
      <c r="B48" s="54" t="s">
        <v>774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832</v>
      </c>
      <c r="B49" s="54" t="s">
        <v>774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833</v>
      </c>
    </row>
    <row r="2" customFormat="false" ht="15" hidden="false" customHeight="true" outlineLevel="0" collapsed="false">
      <c r="A2" s="11" t="s">
        <v>834</v>
      </c>
    </row>
    <row r="4" customFormat="false" ht="15" hidden="false" customHeight="true" outlineLevel="0" collapsed="false">
      <c r="A4" s="20" t="s">
        <v>144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28" t="s">
        <v>64</v>
      </c>
      <c r="D5" s="28" t="s">
        <v>65</v>
      </c>
      <c r="E5" s="28" t="s">
        <v>66</v>
      </c>
      <c r="F5" s="28" t="s">
        <v>64</v>
      </c>
      <c r="G5" s="28" t="s">
        <v>65</v>
      </c>
      <c r="H5" s="28" t="s">
        <v>66</v>
      </c>
      <c r="I5" s="28" t="s">
        <v>64</v>
      </c>
      <c r="J5" s="28" t="s">
        <v>65</v>
      </c>
      <c r="K5" s="28" t="s">
        <v>66</v>
      </c>
      <c r="L5" s="28" t="s">
        <v>64</v>
      </c>
      <c r="M5" s="28" t="s">
        <v>65</v>
      </c>
      <c r="N5" s="28" t="s">
        <v>66</v>
      </c>
      <c r="O5" s="28" t="s">
        <v>64</v>
      </c>
      <c r="P5" s="28" t="s">
        <v>65</v>
      </c>
      <c r="Q5" s="28" t="s">
        <v>66</v>
      </c>
    </row>
    <row r="7" customFormat="false" ht="15" hidden="false" customHeight="true" outlineLevel="0" collapsed="false">
      <c r="A7" s="25" t="s">
        <v>835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836</v>
      </c>
      <c r="B8" s="16" t="s">
        <v>837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78</v>
      </c>
      <c r="B9" s="16" t="s">
        <v>79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838</v>
      </c>
      <c r="B10" s="16" t="s">
        <v>837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709</v>
      </c>
      <c r="B11" s="16" t="s">
        <v>710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839</v>
      </c>
      <c r="B12" s="21" t="s">
        <v>708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5" t="s">
        <v>157</v>
      </c>
      <c r="B13" s="21" t="s">
        <v>702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2" t="s">
        <v>840</v>
      </c>
      <c r="B14" s="21" t="s">
        <v>702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82</v>
      </c>
      <c r="B15" s="16" t="s">
        <v>83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20" t="s">
        <v>841</v>
      </c>
      <c r="B16" s="16" t="s">
        <v>837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842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843</v>
      </c>
      <c r="B18" s="16" t="s">
        <v>844</v>
      </c>
      <c r="C18" s="30" t="n">
        <f aca="false">Spec_Rack!C11</f>
        <v>0.9</v>
      </c>
      <c r="D18" s="30" t="n">
        <f aca="false">Spec_Rack!C12</f>
        <v>1.1</v>
      </c>
      <c r="E18" s="30" t="n">
        <f aca="false">Spec_Rack!C13</f>
        <v>1.3</v>
      </c>
      <c r="F18" s="30" t="n">
        <f aca="false">Spec_Rack!D11</f>
        <v>2.8</v>
      </c>
      <c r="G18" s="30" t="n">
        <f aca="false">Spec_Rack!D12</f>
        <v>3.1</v>
      </c>
      <c r="H18" s="30" t="n">
        <f aca="false">Spec_Rack!D13</f>
        <v>3.4</v>
      </c>
      <c r="I18" s="30" t="n">
        <f aca="false">Spec_Rack!E11</f>
        <v>4</v>
      </c>
      <c r="J18" s="30" t="n">
        <f aca="false">Spec_Rack!E12</f>
        <v>5</v>
      </c>
      <c r="K18" s="30" t="n">
        <f aca="false">Spec_Rack!E13</f>
        <v>6.5</v>
      </c>
      <c r="L18" s="30" t="n">
        <f aca="false">Spec_Rack!F11</f>
        <v>7.8</v>
      </c>
      <c r="M18" s="30" t="n">
        <f aca="false">Spec_Rack!F12</f>
        <v>8.4</v>
      </c>
      <c r="N18" s="30" t="n">
        <f aca="false">Spec_Rack!F13</f>
        <v>9.1</v>
      </c>
      <c r="O18" s="30" t="n">
        <f aca="false">Spec_Rack!G11</f>
        <v>12.6</v>
      </c>
      <c r="P18" s="30" t="n">
        <f aca="false">Spec_Rack!G12</f>
        <v>16.8</v>
      </c>
      <c r="Q18" s="30" t="n">
        <f aca="false">Spec_Rack!G13</f>
        <v>21</v>
      </c>
    </row>
    <row r="19" customFormat="false" ht="15" hidden="false" customHeight="true" outlineLevel="0" collapsed="false">
      <c r="A19" s="20" t="s">
        <v>845</v>
      </c>
      <c r="B19" s="16" t="s">
        <v>846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5" t="s">
        <v>93</v>
      </c>
      <c r="B20" s="16" t="s">
        <v>79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847</v>
      </c>
      <c r="B21" s="16" t="s">
        <v>846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20" t="s">
        <v>848</v>
      </c>
      <c r="B22" s="16" t="s">
        <v>96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848</v>
      </c>
      <c r="B23" s="16" t="s">
        <v>846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5" t="s">
        <v>849</v>
      </c>
      <c r="B24" s="16" t="s">
        <v>846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20" t="s">
        <v>99</v>
      </c>
      <c r="B25" s="16" t="s">
        <v>846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20" t="s">
        <v>850</v>
      </c>
      <c r="B26" s="16" t="s">
        <v>846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20" t="s">
        <v>851</v>
      </c>
      <c r="B27" s="16" t="s">
        <v>846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20" t="s">
        <v>852</v>
      </c>
      <c r="B28" s="16" t="s">
        <v>846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20" t="s">
        <v>853</v>
      </c>
      <c r="B29" s="16" t="s">
        <v>846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20" t="s">
        <v>854</v>
      </c>
      <c r="B30" s="16" t="s">
        <v>79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109</v>
      </c>
      <c r="B31" s="16" t="s">
        <v>846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20" t="s">
        <v>855</v>
      </c>
      <c r="B32" s="16" t="s">
        <v>846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20" t="s">
        <v>856</v>
      </c>
      <c r="B33" s="16" t="s">
        <v>846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20" t="s">
        <v>857</v>
      </c>
      <c r="B34" s="16" t="s">
        <v>858</v>
      </c>
      <c r="C34" s="31" t="n">
        <f aca="false">C33*1000000/C14</f>
        <v>44.0531404585766</v>
      </c>
      <c r="D34" s="31" t="n">
        <f aca="false">D33*1000000/D14</f>
        <v>55.9575599402826</v>
      </c>
      <c r="E34" s="31" t="n">
        <f aca="false">E33*1000000/E14</f>
        <v>70.0604185235527</v>
      </c>
      <c r="F34" s="31" t="n">
        <f aca="false">F33*1000000/F14</f>
        <v>61.4853685368537</v>
      </c>
      <c r="G34" s="31" t="n">
        <f aca="false">G33*1000000/G14</f>
        <v>73.1118245882559</v>
      </c>
      <c r="H34" s="31" t="n">
        <f aca="false">H33*1000000/H14</f>
        <v>87.3634914940769</v>
      </c>
      <c r="I34" s="31" t="n">
        <f aca="false">I33*1000000/I14</f>
        <v>79.6021880544057</v>
      </c>
      <c r="J34" s="31" t="n">
        <f aca="false">J33*1000000/J14</f>
        <v>102.90488862606</v>
      </c>
      <c r="K34" s="31" t="n">
        <f aca="false">K33*1000000/K14</f>
        <v>137.855038110257</v>
      </c>
      <c r="L34" s="31" t="n">
        <f aca="false">L33*1000000/L14</f>
        <v>149.053290556104</v>
      </c>
      <c r="M34" s="31" t="n">
        <f aca="false">M33*1000000/M14</f>
        <v>172.261818580673</v>
      </c>
      <c r="N34" s="31" t="n">
        <f aca="false">N33*1000000/N14</f>
        <v>201.627369200395</v>
      </c>
      <c r="O34" s="31" t="n">
        <f aca="false">O33*1000000/O14</f>
        <v>236.483764633395</v>
      </c>
      <c r="P34" s="31" t="n">
        <f aca="false">P33*1000000/P14</f>
        <v>322.221092626823</v>
      </c>
      <c r="Q34" s="31" t="n">
        <f aca="false">Q33*1000000/Q14</f>
        <v>419.324080920107</v>
      </c>
    </row>
    <row r="35" customFormat="false" ht="15" hidden="false" customHeight="true" outlineLevel="0" collapsed="false">
      <c r="A35" s="20" t="s">
        <v>859</v>
      </c>
      <c r="B35" s="16" t="s">
        <v>844</v>
      </c>
      <c r="C35" s="31" t="n">
        <f aca="false">C33*1000/C8</f>
        <v>31.6322694</v>
      </c>
      <c r="D35" s="31" t="n">
        <f aca="false">D33*1000/D8</f>
        <v>40.180214</v>
      </c>
      <c r="E35" s="31" t="n">
        <f aca="false">E33*1000/E8</f>
        <v>50.3067434</v>
      </c>
      <c r="F35" s="31" t="n">
        <f aca="false">F33*1000/F8</f>
        <v>30.8513904</v>
      </c>
      <c r="G35" s="31" t="n">
        <f aca="false">G33*1000/G8</f>
        <v>36.685174</v>
      </c>
      <c r="H35" s="31" t="n">
        <f aca="false">H33*1000/H8</f>
        <v>43.8362044</v>
      </c>
      <c r="I35" s="31" t="n">
        <f aca="false">I33*1000/I8</f>
        <v>38.7669024</v>
      </c>
      <c r="J35" s="31" t="n">
        <f aca="false">J33*1000/J8</f>
        <v>50.115504</v>
      </c>
      <c r="K35" s="31" t="n">
        <f aca="false">K33*1000/K8</f>
        <v>67.1365064</v>
      </c>
      <c r="L35" s="31" t="n">
        <f aca="false">L33*1000/L8</f>
        <v>43.4854032</v>
      </c>
      <c r="M35" s="31" t="n">
        <f aca="false">M33*1000/M8</f>
        <v>50.256352</v>
      </c>
      <c r="N35" s="31" t="n">
        <f aca="false">N33*1000/N8</f>
        <v>58.8235752</v>
      </c>
      <c r="O35" s="31" t="n">
        <f aca="false">O33*1000/O8</f>
        <v>46.057578</v>
      </c>
      <c r="P35" s="31" t="n">
        <f aca="false">P33*1000/P8</f>
        <v>62.75578</v>
      </c>
      <c r="Q35" s="31" t="n">
        <f aca="false">Q33*1000/Q8</f>
        <v>81.667558</v>
      </c>
    </row>
    <row r="36" customFormat="false" ht="15" hidden="false" customHeight="true" outlineLevel="0" collapsed="false">
      <c r="A36" s="20" t="s">
        <v>860</v>
      </c>
      <c r="B36" s="16" t="s">
        <v>844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5" t="s">
        <v>861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862</v>
      </c>
      <c r="B38" s="21" t="s">
        <v>114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5" t="s">
        <v>863</v>
      </c>
      <c r="B39" s="16" t="s">
        <v>846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20" t="s">
        <v>864</v>
      </c>
      <c r="B40" s="16" t="s">
        <v>846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86</v>
      </c>
      <c r="B41" s="16" t="s">
        <v>79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88</v>
      </c>
      <c r="B42" s="16" t="s">
        <v>89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20" t="s">
        <v>865</v>
      </c>
      <c r="B43" s="16" t="s">
        <v>846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5" t="s">
        <v>125</v>
      </c>
      <c r="B44" s="16" t="s">
        <v>846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20" t="s">
        <v>128</v>
      </c>
      <c r="B45" s="16" t="s">
        <v>846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20" t="s">
        <v>866</v>
      </c>
      <c r="B46" s="16" t="s">
        <v>846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139</v>
      </c>
      <c r="B47" s="16" t="s">
        <v>846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20" t="s">
        <v>867</v>
      </c>
      <c r="B48" s="16" t="s">
        <v>846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20" t="s">
        <v>868</v>
      </c>
      <c r="B49" s="16" t="s">
        <v>846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5" t="s">
        <v>869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870</v>
      </c>
      <c r="B51" s="16" t="s">
        <v>79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871</v>
      </c>
      <c r="B52" s="16" t="s">
        <v>83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5" t="s">
        <v>872</v>
      </c>
      <c r="B53" s="16" t="s">
        <v>846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20" t="s">
        <v>873</v>
      </c>
      <c r="B54" s="16" t="s">
        <v>846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874</v>
      </c>
      <c r="B55" s="16" t="s">
        <v>846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5" t="s">
        <v>875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876</v>
      </c>
      <c r="B57" s="16" t="s">
        <v>819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20" t="s">
        <v>877</v>
      </c>
      <c r="B58" s="16" t="s">
        <v>819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20" t="s">
        <v>878</v>
      </c>
      <c r="B59" s="16" t="s">
        <v>879</v>
      </c>
      <c r="C59" s="17" t="n">
        <f aca="false">C55*1000000000/(C12*8760)</f>
        <v>35.6117341280089</v>
      </c>
      <c r="D59" s="17" t="n">
        <f aca="false">D55*1000000000/(D12*8760)</f>
        <v>51.3609362038928</v>
      </c>
      <c r="E59" s="17" t="n">
        <f aca="false">E55*1000000000/(E12*8760)</f>
        <v>88.5504306026803</v>
      </c>
      <c r="F59" s="17" t="n">
        <f aca="false">F55*1000000000/(F12*8760)</f>
        <v>111.602638018249</v>
      </c>
      <c r="G59" s="17" t="n">
        <f aca="false">G55*1000000000/(G12*8760)</f>
        <v>150.22467269032</v>
      </c>
      <c r="H59" s="17" t="n">
        <f aca="false">H55*1000000000/(H12*8760)</f>
        <v>244.396556665465</v>
      </c>
      <c r="I59" s="17" t="n">
        <f aca="false">I55*1000000000/(I12*8760)</f>
        <v>146.954983986859</v>
      </c>
      <c r="J59" s="17" t="n">
        <f aca="false">J55*1000000000/(J12*8760)</f>
        <v>214.754082787885</v>
      </c>
      <c r="K59" s="17" t="n">
        <f aca="false">K55*1000000000/(K12*8760)</f>
        <v>402.882797323798</v>
      </c>
      <c r="L59" s="17" t="n">
        <f aca="false">L55*1000000000/(L12*8760)</f>
        <v>277.124566811615</v>
      </c>
      <c r="M59" s="17" t="n">
        <f aca="false">M55*1000000000/(M12*8760)</f>
        <v>359.538774929064</v>
      </c>
      <c r="N59" s="17" t="n">
        <f aca="false">N55*1000000000/(N12*8760)</f>
        <v>582.554908944553</v>
      </c>
      <c r="O59" s="17" t="n">
        <f aca="false">O55*1000000000/(O12*8760)</f>
        <v>441.101022521441</v>
      </c>
      <c r="P59" s="17" t="n">
        <f aca="false">P55*1000000000/(P12*8760)</f>
        <v>678.156326242703</v>
      </c>
      <c r="Q59" s="17" t="n">
        <f aca="false">Q55*1000000000/(Q12*8760)</f>
        <v>1243.0310459641</v>
      </c>
    </row>
    <row r="60" customFormat="false" ht="15" hidden="false" customHeight="true" outlineLevel="0" collapsed="false">
      <c r="A60" s="20" t="s">
        <v>880</v>
      </c>
      <c r="B60" s="16" t="s">
        <v>881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20" t="s">
        <v>882</v>
      </c>
      <c r="B61" s="16" t="s">
        <v>79</v>
      </c>
      <c r="C61" s="22" t="n">
        <f aca="false">(C53+C54)/C55</f>
        <v>0.811259139748391</v>
      </c>
      <c r="D61" s="22" t="n">
        <f aca="false">(D53+D54)/D55</f>
        <v>0.774423369011756</v>
      </c>
      <c r="E61" s="22" t="n">
        <f aca="false">(E53+E54)/E55</f>
        <v>0.792780680676615</v>
      </c>
      <c r="F61" s="22" t="n">
        <f aca="false">(F53+F54)/F55</f>
        <v>0.808718326060089</v>
      </c>
      <c r="G61" s="22" t="n">
        <f aca="false">(G53+G54)/G55</f>
        <v>0.765014356211366</v>
      </c>
      <c r="H61" s="22" t="n">
        <f aca="false">(H53+H54)/H55</f>
        <v>0.779070944435501</v>
      </c>
      <c r="I61" s="22" t="n">
        <f aca="false">(I53+I54)/I55</f>
        <v>0.829423400234976</v>
      </c>
      <c r="J61" s="22" t="n">
        <f aca="false">(J53+J54)/J55</f>
        <v>0.793700356253443</v>
      </c>
      <c r="K61" s="22" t="n">
        <f aca="false">(K53+K54)/K55</f>
        <v>0.815067590974963</v>
      </c>
      <c r="L61" s="22" t="n">
        <f aca="false">(L53+L54)/L55</f>
        <v>0.837972143469627</v>
      </c>
      <c r="M61" s="22" t="n">
        <f aca="false">(M53+M54)/M55</f>
        <v>0.793916543741441</v>
      </c>
      <c r="N61" s="22" t="n">
        <f aca="false">(N53+N54)/N55</f>
        <v>0.805801129507785</v>
      </c>
      <c r="O61" s="22" t="n">
        <f aca="false">(O53+O54)/O55</f>
        <v>0.841854373849971</v>
      </c>
      <c r="P61" s="22" t="n">
        <f aca="false">(P53+P54)/P55</f>
        <v>0.809108648663935</v>
      </c>
      <c r="Q61" s="22" t="n">
        <f aca="false">(Q53+Q54)/Q55</f>
        <v>0.826438988465219</v>
      </c>
    </row>
    <row r="62" customFormat="false" ht="15" hidden="false" customHeight="true" outlineLevel="0" collapsed="false">
      <c r="A62" s="20" t="s">
        <v>883</v>
      </c>
      <c r="B62" s="16" t="s">
        <v>79</v>
      </c>
      <c r="C62" s="22" t="n">
        <f aca="false">C43/C55</f>
        <v>0.0578156422832076</v>
      </c>
      <c r="D62" s="22" t="n">
        <f aca="false">D43/D55</f>
        <v>0.0666384351386425</v>
      </c>
      <c r="E62" s="22" t="n">
        <f aca="false">E43/E55</f>
        <v>0.0588832382500467</v>
      </c>
      <c r="F62" s="22" t="n">
        <f aca="false">F43/F55</f>
        <v>0.0594014505906994</v>
      </c>
      <c r="G62" s="22" t="n">
        <f aca="false">G43/G55</f>
        <v>0.0733583389510593</v>
      </c>
      <c r="H62" s="22" t="n">
        <f aca="false">H43/H55</f>
        <v>0.0686942386355233</v>
      </c>
      <c r="I62" s="22" t="n">
        <f aca="false">I43/I55</f>
        <v>0.0464787090355295</v>
      </c>
      <c r="J62" s="22" t="n">
        <f aca="false">J43/J55</f>
        <v>0.0528708377503218</v>
      </c>
      <c r="K62" s="22" t="n">
        <f aca="false">K43/K55</f>
        <v>0.0429342162059577</v>
      </c>
      <c r="L62" s="22" t="n">
        <f aca="false">L43/L55</f>
        <v>0.0411431473992953</v>
      </c>
      <c r="M62" s="22" t="n">
        <f aca="false">M43/M55</f>
        <v>0.0527164369480688</v>
      </c>
      <c r="N62" s="22" t="n">
        <f aca="false">N43/N55</f>
        <v>0.0495655076784986</v>
      </c>
      <c r="O62" s="22" t="n">
        <f aca="false">O43/O55</f>
        <v>0.0387201152749445</v>
      </c>
      <c r="P62" s="22" t="n">
        <f aca="false">P43/P55</f>
        <v>0.0418662568119475</v>
      </c>
      <c r="Q62" s="22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0" t="s">
        <v>884</v>
      </c>
    </row>
    <row r="2" customFormat="false" ht="15" hidden="false" customHeight="false" outlineLevel="0" collapsed="false">
      <c r="A2" s="51" t="s">
        <v>885</v>
      </c>
    </row>
    <row r="4" customFormat="false" ht="15" hidden="false" customHeight="false" outlineLevel="0" collapsed="false">
      <c r="A4" s="10" t="s">
        <v>302</v>
      </c>
      <c r="B4" s="10" t="s">
        <v>63</v>
      </c>
      <c r="C4" s="10" t="s">
        <v>303</v>
      </c>
      <c r="D4" s="10" t="s">
        <v>67</v>
      </c>
      <c r="H4" s="10" t="s">
        <v>304</v>
      </c>
    </row>
    <row r="5" customFormat="false" ht="15" hidden="false" customHeight="false" outlineLevel="0" collapsed="false">
      <c r="A5" s="53" t="s">
        <v>886</v>
      </c>
      <c r="B5" s="53"/>
      <c r="C5" s="129" t="s">
        <v>887</v>
      </c>
      <c r="D5" s="51" t="s">
        <v>72</v>
      </c>
      <c r="H5" s="80" t="s">
        <v>888</v>
      </c>
    </row>
    <row r="6" customFormat="false" ht="26.85" hidden="false" customHeight="false" outlineLevel="0" collapsed="false">
      <c r="A6" s="53" t="s">
        <v>889</v>
      </c>
      <c r="B6" s="54" t="s">
        <v>79</v>
      </c>
      <c r="C6" s="58" t="n">
        <v>0.25</v>
      </c>
      <c r="D6" s="51" t="s">
        <v>84</v>
      </c>
      <c r="H6" s="80" t="s">
        <v>890</v>
      </c>
    </row>
    <row r="7" customFormat="false" ht="15" hidden="false" customHeight="false" outlineLevel="0" collapsed="false">
      <c r="A7" s="54" t="s">
        <v>891</v>
      </c>
      <c r="B7" s="54" t="s">
        <v>79</v>
      </c>
      <c r="C7" s="58" t="n">
        <v>0.9</v>
      </c>
      <c r="D7" s="51" t="s">
        <v>84</v>
      </c>
      <c r="H7" s="80" t="s">
        <v>892</v>
      </c>
    </row>
    <row r="8" customFormat="false" ht="15" hidden="false" customHeight="false" outlineLevel="0" collapsed="false">
      <c r="A8" s="54" t="s">
        <v>893</v>
      </c>
      <c r="B8" s="54" t="s">
        <v>83</v>
      </c>
      <c r="C8" s="71" t="n">
        <v>0.8</v>
      </c>
      <c r="D8" s="51" t="s">
        <v>80</v>
      </c>
      <c r="H8" s="86" t="s">
        <v>894</v>
      </c>
    </row>
    <row r="9" customFormat="false" ht="15" hidden="false" customHeight="false" outlineLevel="0" collapsed="false">
      <c r="A9" s="54" t="s">
        <v>895</v>
      </c>
      <c r="B9" s="54" t="s">
        <v>83</v>
      </c>
      <c r="C9" s="71" t="n">
        <v>0.6</v>
      </c>
      <c r="D9" s="51" t="s">
        <v>80</v>
      </c>
      <c r="H9" s="86" t="s">
        <v>896</v>
      </c>
    </row>
    <row r="10" customFormat="false" ht="15" hidden="false" customHeight="false" outlineLevel="0" collapsed="false">
      <c r="A10" s="53" t="s">
        <v>897</v>
      </c>
      <c r="B10" s="53" t="s">
        <v>75</v>
      </c>
      <c r="C10" s="59" t="n">
        <v>0</v>
      </c>
      <c r="D10" s="51" t="s">
        <v>80</v>
      </c>
      <c r="H10" s="80" t="s">
        <v>898</v>
      </c>
    </row>
    <row r="11" customFormat="false" ht="26.85" hidden="false" customHeight="false" outlineLevel="0" collapsed="false">
      <c r="A11" s="54" t="s">
        <v>899</v>
      </c>
      <c r="B11" s="54" t="s">
        <v>79</v>
      </c>
      <c r="C11" s="58" t="n">
        <v>0.85</v>
      </c>
      <c r="D11" s="51" t="s">
        <v>84</v>
      </c>
      <c r="H11" s="80" t="s">
        <v>900</v>
      </c>
    </row>
    <row r="12" customFormat="false" ht="15" hidden="false" customHeight="false" outlineLevel="0" collapsed="false">
      <c r="A12" s="54" t="s">
        <v>901</v>
      </c>
      <c r="B12" s="53" t="s">
        <v>295</v>
      </c>
      <c r="C12" s="59" t="n">
        <v>16</v>
      </c>
      <c r="D12" s="51" t="s">
        <v>84</v>
      </c>
      <c r="H12" s="80" t="s">
        <v>902</v>
      </c>
    </row>
    <row r="13" customFormat="false" ht="26.85" hidden="false" customHeight="false" outlineLevel="0" collapsed="false">
      <c r="A13" s="53" t="s">
        <v>903</v>
      </c>
      <c r="B13" s="54" t="s">
        <v>83</v>
      </c>
      <c r="C13" s="70" t="n">
        <v>8</v>
      </c>
      <c r="D13" s="51" t="s">
        <v>84</v>
      </c>
      <c r="H13" s="80" t="s">
        <v>904</v>
      </c>
    </row>
    <row r="14" customFormat="false" ht="15" hidden="false" customHeight="false" outlineLevel="0" collapsed="false">
      <c r="A14" s="53" t="s">
        <v>905</v>
      </c>
      <c r="B14" s="53"/>
      <c r="C14" s="98" t="s">
        <v>906</v>
      </c>
      <c r="D14" s="51" t="s">
        <v>72</v>
      </c>
      <c r="H14" s="80" t="s">
        <v>907</v>
      </c>
    </row>
    <row r="15" customFormat="false" ht="15" hidden="false" customHeight="false" outlineLevel="0" collapsed="false">
      <c r="A15" s="53" t="s">
        <v>908</v>
      </c>
      <c r="B15" s="53" t="s">
        <v>75</v>
      </c>
      <c r="C15" s="59" t="n">
        <v>3</v>
      </c>
      <c r="D15" s="51" t="s">
        <v>80</v>
      </c>
      <c r="H15" s="86" t="s">
        <v>909</v>
      </c>
    </row>
    <row r="16" customFormat="false" ht="15" hidden="false" customHeight="false" outlineLevel="0" collapsed="false">
      <c r="A16" s="53" t="s">
        <v>910</v>
      </c>
      <c r="B16" s="53" t="s">
        <v>911</v>
      </c>
      <c r="C16" s="59" t="n">
        <v>4</v>
      </c>
      <c r="D16" s="51" t="s">
        <v>72</v>
      </c>
      <c r="E16" s="74" t="str">
        <f aca="false">INDEX(Spec_Rack!$C$4:$G$4,$C$16)</f>
        <v>VR200 NVL72</v>
      </c>
      <c r="H16" s="80" t="s">
        <v>912</v>
      </c>
    </row>
    <row r="17" customFormat="false" ht="15" hidden="false" customHeight="false" outlineLevel="0" collapsed="false">
      <c r="A17" s="53" t="s">
        <v>913</v>
      </c>
      <c r="B17" s="53" t="s">
        <v>911</v>
      </c>
      <c r="C17" s="59" t="n">
        <v>3</v>
      </c>
      <c r="D17" s="51" t="s">
        <v>72</v>
      </c>
      <c r="E17" s="74" t="str">
        <f aca="false">INDEX(Spec_Rack!$C$4:$G$4,$C$17)</f>
        <v>GB300 NVL72</v>
      </c>
      <c r="H17" s="80" t="s">
        <v>914</v>
      </c>
    </row>
    <row r="19" customFormat="false" ht="15" hidden="false" customHeight="false" outlineLevel="0" collapsed="false">
      <c r="A19" s="61" t="s">
        <v>915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10" t="s">
        <v>144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7.3" hidden="false" customHeight="false" outlineLevel="0" collapsed="false">
      <c r="A21" s="53" t="s">
        <v>916</v>
      </c>
      <c r="B21" s="54" t="s">
        <v>83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917</v>
      </c>
    </row>
    <row r="23" customFormat="false" ht="15" hidden="false" customHeight="false" outlineLevel="0" collapsed="false">
      <c r="A23" s="61" t="s">
        <v>918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10" t="s">
        <v>336</v>
      </c>
      <c r="B24" s="10" t="s">
        <v>63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10" t="s">
        <v>304</v>
      </c>
    </row>
    <row r="25" customFormat="false" ht="24.6" hidden="false" customHeight="false" outlineLevel="0" collapsed="false">
      <c r="A25" s="53" t="s">
        <v>919</v>
      </c>
      <c r="B25" s="54" t="s">
        <v>920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921</v>
      </c>
    </row>
    <row r="26" customFormat="false" ht="15" hidden="false" customHeight="false" outlineLevel="0" collapsed="false">
      <c r="A26" s="53" t="s">
        <v>922</v>
      </c>
      <c r="B26" s="54" t="s">
        <v>257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923</v>
      </c>
    </row>
    <row r="27" customFormat="false" ht="15" hidden="false" customHeight="false" outlineLevel="0" collapsed="false">
      <c r="A27" s="53" t="s">
        <v>924</v>
      </c>
      <c r="B27" s="54" t="s">
        <v>920</v>
      </c>
      <c r="C27" s="130" t="n">
        <v>1</v>
      </c>
      <c r="D27" s="130" t="n">
        <v>1</v>
      </c>
      <c r="E27" s="130" t="n">
        <v>2</v>
      </c>
      <c r="H27" s="80" t="s">
        <v>925</v>
      </c>
    </row>
    <row r="28" customFormat="false" ht="15" hidden="false" customHeight="false" outlineLevel="0" collapsed="false">
      <c r="A28" s="53" t="s">
        <v>926</v>
      </c>
      <c r="B28" s="54" t="s">
        <v>257</v>
      </c>
      <c r="C28" s="56" t="n">
        <v>131072</v>
      </c>
      <c r="D28" s="56" t="n">
        <v>131072</v>
      </c>
      <c r="E28" s="56" t="n">
        <v>131072</v>
      </c>
      <c r="H28" s="80" t="s">
        <v>80</v>
      </c>
    </row>
    <row r="29" customFormat="false" ht="15" hidden="false" customHeight="false" outlineLevel="0" collapsed="false">
      <c r="A29" s="54" t="s">
        <v>927</v>
      </c>
      <c r="B29" s="54" t="s">
        <v>920</v>
      </c>
      <c r="C29" s="131" t="n">
        <v>0.05</v>
      </c>
      <c r="D29" s="131" t="n">
        <v>0.05</v>
      </c>
      <c r="E29" s="131" t="n">
        <v>0.1</v>
      </c>
      <c r="H29" s="80" t="s">
        <v>928</v>
      </c>
    </row>
    <row r="30" customFormat="false" ht="15" hidden="false" customHeight="false" outlineLevel="0" collapsed="false">
      <c r="A30" s="54" t="s">
        <v>929</v>
      </c>
      <c r="B30" s="54" t="s">
        <v>257</v>
      </c>
      <c r="C30" s="56" t="n">
        <v>16384</v>
      </c>
      <c r="D30" s="56" t="n">
        <v>16384</v>
      </c>
      <c r="E30" s="56" t="n">
        <v>16384</v>
      </c>
      <c r="H30" s="80" t="s">
        <v>80</v>
      </c>
    </row>
    <row r="31" customFormat="false" ht="15" hidden="false" customHeight="false" outlineLevel="0" collapsed="false">
      <c r="A31" s="53" t="s">
        <v>930</v>
      </c>
      <c r="B31" s="54" t="s">
        <v>338</v>
      </c>
      <c r="C31" s="56" t="n">
        <v>20</v>
      </c>
      <c r="D31" s="56" t="n">
        <v>20</v>
      </c>
      <c r="E31" s="56" t="n">
        <v>20</v>
      </c>
      <c r="H31" s="86" t="s">
        <v>931</v>
      </c>
    </row>
    <row r="32" customFormat="false" ht="15" hidden="false" customHeight="false" outlineLevel="0" collapsed="false">
      <c r="A32" s="54" t="s">
        <v>932</v>
      </c>
      <c r="B32" s="54" t="s">
        <v>257</v>
      </c>
      <c r="C32" s="56" t="n">
        <v>4096</v>
      </c>
      <c r="D32" s="56" t="n">
        <v>8192</v>
      </c>
      <c r="E32" s="56" t="n">
        <v>16384</v>
      </c>
      <c r="H32" s="80" t="s">
        <v>80</v>
      </c>
    </row>
    <row r="33" customFormat="false" ht="15" hidden="false" customHeight="false" outlineLevel="0" collapsed="false">
      <c r="A33" s="54" t="s">
        <v>933</v>
      </c>
      <c r="B33" s="54" t="s">
        <v>257</v>
      </c>
      <c r="C33" s="56" t="n">
        <v>8192</v>
      </c>
      <c r="D33" s="56" t="n">
        <v>16384</v>
      </c>
      <c r="E33" s="56" t="n">
        <v>32768</v>
      </c>
      <c r="H33" s="80" t="s">
        <v>934</v>
      </c>
    </row>
    <row r="34" customFormat="false" ht="39.55" hidden="false" customHeight="false" outlineLevel="0" collapsed="false">
      <c r="A34" s="54" t="s">
        <v>935</v>
      </c>
      <c r="B34" s="54" t="s">
        <v>920</v>
      </c>
      <c r="C34" s="132" t="n">
        <v>2.36</v>
      </c>
      <c r="D34" s="132" t="n">
        <v>2.36</v>
      </c>
      <c r="E34" s="132" t="n">
        <v>9.6</v>
      </c>
      <c r="H34" s="80" t="s">
        <v>936</v>
      </c>
    </row>
    <row r="35" customFormat="false" ht="15" hidden="false" customHeight="false" outlineLevel="0" collapsed="false">
      <c r="A35" s="54" t="s">
        <v>937</v>
      </c>
      <c r="B35" s="54" t="s">
        <v>920</v>
      </c>
      <c r="C35" s="131" t="n">
        <v>0.2</v>
      </c>
      <c r="D35" s="131" t="n">
        <v>0.2</v>
      </c>
      <c r="E35" s="131" t="n">
        <v>0.2</v>
      </c>
      <c r="H35" s="80" t="s">
        <v>938</v>
      </c>
    </row>
    <row r="36" customFormat="false" ht="15" hidden="false" customHeight="false" outlineLevel="0" collapsed="false">
      <c r="A36" s="53" t="s">
        <v>939</v>
      </c>
      <c r="B36" s="53" t="s">
        <v>75</v>
      </c>
      <c r="C36" s="59" t="n">
        <v>1</v>
      </c>
      <c r="D36" s="59" t="n">
        <v>2</v>
      </c>
      <c r="E36" s="59" t="n">
        <v>3</v>
      </c>
      <c r="H36" s="80" t="s">
        <v>940</v>
      </c>
    </row>
    <row r="37" customFormat="false" ht="15" hidden="false" customHeight="false" outlineLevel="0" collapsed="false">
      <c r="A37" s="53" t="s">
        <v>941</v>
      </c>
      <c r="B37" s="54" t="s">
        <v>920</v>
      </c>
      <c r="C37" s="130" t="n">
        <v>1</v>
      </c>
      <c r="D37" s="130" t="n">
        <v>2</v>
      </c>
      <c r="E37" s="130" t="n">
        <v>3</v>
      </c>
      <c r="H37" s="80" t="s">
        <v>942</v>
      </c>
    </row>
    <row r="38" customFormat="false" ht="15" hidden="false" customHeight="false" outlineLevel="0" collapsed="false">
      <c r="A38" s="53" t="s">
        <v>943</v>
      </c>
      <c r="B38" s="54" t="s">
        <v>920</v>
      </c>
      <c r="C38" s="131" t="n">
        <v>0.02</v>
      </c>
      <c r="D38" s="131" t="n">
        <v>0.05</v>
      </c>
      <c r="E38" s="131" t="n">
        <v>0.1</v>
      </c>
      <c r="H38" s="80" t="s">
        <v>80</v>
      </c>
    </row>
    <row r="40" customFormat="false" ht="15" hidden="false" customHeight="false" outlineLevel="0" collapsed="false">
      <c r="A40" s="61" t="s">
        <v>944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945</v>
      </c>
      <c r="B41" s="54" t="s">
        <v>920</v>
      </c>
      <c r="C41" s="91" t="n">
        <f aca="false">SRC_MOD_039</f>
        <v>14.8</v>
      </c>
      <c r="H41" s="80" t="s">
        <v>946</v>
      </c>
    </row>
    <row r="42" customFormat="false" ht="15" hidden="false" customHeight="false" outlineLevel="0" collapsed="false">
      <c r="A42" s="54" t="s">
        <v>947</v>
      </c>
      <c r="B42" s="54" t="s">
        <v>948</v>
      </c>
      <c r="C42" s="87" t="n">
        <f aca="false">SRC_MOD_040</f>
        <v>2.664</v>
      </c>
      <c r="H42" s="80" t="s">
        <v>949</v>
      </c>
    </row>
    <row r="43" customFormat="false" ht="15" hidden="false" customHeight="false" outlineLevel="0" collapsed="false">
      <c r="A43" s="54" t="s">
        <v>950</v>
      </c>
      <c r="B43" s="54" t="s">
        <v>257</v>
      </c>
      <c r="C43" s="55" t="n">
        <f aca="false">SRC_MOD_042</f>
        <v>4096</v>
      </c>
      <c r="H43" s="80" t="s">
        <v>951</v>
      </c>
    </row>
    <row r="44" customFormat="false" ht="15" hidden="false" customHeight="false" outlineLevel="0" collapsed="false">
      <c r="A44" s="54" t="s">
        <v>952</v>
      </c>
      <c r="B44" s="54" t="s">
        <v>83</v>
      </c>
      <c r="C44" s="102" t="n">
        <f aca="false">SRC_MOD_034/SRC_MOD_040</f>
        <v>0.0551801801801802</v>
      </c>
      <c r="H44" s="80" t="s">
        <v>953</v>
      </c>
    </row>
    <row r="45" customFormat="false" ht="15" hidden="false" customHeight="false" outlineLevel="0" collapsed="false">
      <c r="A45" s="54" t="s">
        <v>954</v>
      </c>
      <c r="B45" s="54" t="s">
        <v>83</v>
      </c>
      <c r="C45" s="101" t="n">
        <f aca="false">SRC_MOD_036</f>
        <v>1</v>
      </c>
      <c r="H45" s="80" t="s">
        <v>955</v>
      </c>
    </row>
    <row r="46" customFormat="false" ht="15" hidden="false" customHeight="false" outlineLevel="0" collapsed="false">
      <c r="A46" s="53" t="s">
        <v>956</v>
      </c>
      <c r="B46" s="54" t="s">
        <v>280</v>
      </c>
      <c r="C46" s="133" t="n">
        <v>2E+026</v>
      </c>
      <c r="H46" s="80" t="s">
        <v>957</v>
      </c>
    </row>
    <row r="47" customFormat="false" ht="15" hidden="false" customHeight="false" outlineLevel="0" collapsed="false">
      <c r="A47" s="53" t="s">
        <v>958</v>
      </c>
      <c r="B47" s="54" t="s">
        <v>280</v>
      </c>
      <c r="C47" s="133" t="n">
        <v>5E+026</v>
      </c>
      <c r="H47" s="86" t="s">
        <v>105</v>
      </c>
    </row>
    <row r="48" customFormat="false" ht="15" hidden="false" customHeight="false" outlineLevel="0" collapsed="false">
      <c r="A48" s="53" t="s">
        <v>959</v>
      </c>
      <c r="B48" s="54" t="s">
        <v>280</v>
      </c>
      <c r="C48" s="133" t="n">
        <v>2E+027</v>
      </c>
      <c r="H48" s="86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0" t="s">
        <v>960</v>
      </c>
    </row>
    <row r="2" customFormat="false" ht="15" hidden="false" customHeight="false" outlineLevel="0" collapsed="false">
      <c r="A2" s="51" t="s">
        <v>961</v>
      </c>
    </row>
    <row r="3" customFormat="false" ht="15" hidden="false" customHeight="false" outlineLevel="0" collapsed="false">
      <c r="A3" s="10" t="s">
        <v>962</v>
      </c>
      <c r="R3" s="10" t="s">
        <v>963</v>
      </c>
      <c r="S3" s="10" t="s">
        <v>963</v>
      </c>
    </row>
    <row r="4" customFormat="false" ht="15" hidden="false" customHeight="false" outlineLevel="0" collapsed="false">
      <c r="A4" s="10" t="s">
        <v>144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10" t="s">
        <v>689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10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10" t="s">
        <v>690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691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692</v>
      </c>
      <c r="B10" s="54" t="s">
        <v>83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693</v>
      </c>
      <c r="B11" s="54" t="s">
        <v>83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694</v>
      </c>
      <c r="B12" s="54" t="s">
        <v>83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695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442</v>
      </c>
      <c r="B14" s="54" t="s">
        <v>443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444</v>
      </c>
      <c r="B15" s="54" t="s">
        <v>696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445</v>
      </c>
      <c r="B16" s="54" t="s">
        <v>327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697</v>
      </c>
      <c r="B17" s="54" t="s">
        <v>327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204</v>
      </c>
      <c r="B18" s="54" t="s">
        <v>698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699</v>
      </c>
      <c r="B19" s="54" t="s">
        <v>236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700</v>
      </c>
      <c r="B20" s="54" t="s">
        <v>236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701</v>
      </c>
      <c r="B21" s="54" t="s">
        <v>698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157</v>
      </c>
      <c r="B22" s="53" t="s">
        <v>702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703</v>
      </c>
      <c r="B23" s="54" t="s">
        <v>704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705</v>
      </c>
      <c r="B24" s="54" t="s">
        <v>706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707</v>
      </c>
      <c r="B25" s="53" t="s">
        <v>708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709</v>
      </c>
      <c r="B26" s="54" t="s">
        <v>710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711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239</v>
      </c>
      <c r="B28" s="54" t="s">
        <v>236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241</v>
      </c>
      <c r="B29" s="53" t="s">
        <v>242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244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712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452</v>
      </c>
      <c r="B32" s="54" t="s">
        <v>236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278</v>
      </c>
      <c r="B33" s="54" t="s">
        <v>236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713</v>
      </c>
      <c r="B34" s="54" t="s">
        <v>236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454</v>
      </c>
      <c r="B35" s="54" t="s">
        <v>280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254</v>
      </c>
      <c r="B36" s="54" t="s">
        <v>79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714</v>
      </c>
      <c r="B37" s="54" t="s">
        <v>257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260</v>
      </c>
      <c r="B38" s="54" t="s">
        <v>83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262</v>
      </c>
      <c r="B39" s="54" t="s">
        <v>257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715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337</v>
      </c>
      <c r="B41" s="54" t="s">
        <v>338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716</v>
      </c>
      <c r="B42" s="54" t="s">
        <v>341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717</v>
      </c>
      <c r="B43" s="54" t="s">
        <v>257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344</v>
      </c>
      <c r="B44" s="54" t="s">
        <v>257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345</v>
      </c>
      <c r="B45" s="54" t="s">
        <v>257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346</v>
      </c>
      <c r="B46" s="54" t="s">
        <v>257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718</v>
      </c>
      <c r="B47" s="54" t="s">
        <v>257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719</v>
      </c>
      <c r="B48" s="54" t="s">
        <v>79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720</v>
      </c>
      <c r="B49" s="54" t="s">
        <v>257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333</v>
      </c>
      <c r="B50" s="54" t="s">
        <v>83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4" t="s">
        <v>79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722</v>
      </c>
      <c r="B52" s="54" t="s">
        <v>83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723</v>
      </c>
      <c r="B53" s="54" t="s">
        <v>79</v>
      </c>
      <c r="C53" s="103" t="n">
        <f aca="false">INDEX(Calib!$C$70:$G$70,C$6)*C52*C50*INDEX(CAL_BatchEtaD,1,C$6)</f>
        <v>0.0536325502498254</v>
      </c>
      <c r="D53" s="103" t="n">
        <f aca="false">INDEX(Calib!$C$70:$G$70,D$6)*D52*D50*INDEX(CAL_BatchEtaD,1,D$6)</f>
        <v>0.0536325502498254</v>
      </c>
      <c r="E53" s="103" t="n">
        <f aca="false">INDEX(Calib!$C$70:$G$70,E$6)*E52*E50*INDEX(CAL_BatchEtaD,1,E$6)</f>
        <v>0.0536325502498254</v>
      </c>
      <c r="F53" s="103" t="n">
        <f aca="false">INDEX(Calib!$C$70:$G$70,F$6)*F52*F50*INDEX(CAL_BatchEtaD,1,F$6)</f>
        <v>0.0357550334998836</v>
      </c>
      <c r="G53" s="103" t="n">
        <f aca="false">INDEX(Calib!$C$70:$G$70,G$6)*G52*G50*INDEX(CAL_BatchEtaD,1,G$6)</f>
        <v>0.0357550334998836</v>
      </c>
      <c r="H53" s="103" t="n">
        <f aca="false">INDEX(Calib!$C$70:$G$70,H$6)*H52*H50*INDEX(CAL_BatchEtaD,1,H$6)</f>
        <v>0.0357550334998836</v>
      </c>
      <c r="I53" s="103" t="n">
        <f aca="false">INDEX(Calib!$C$70:$G$70,I$6)*I52*I50*INDEX(CAL_BatchEtaD,1,I$6)</f>
        <v>0.0357550334998836</v>
      </c>
      <c r="J53" s="103" t="n">
        <f aca="false">INDEX(Calib!$C$70:$G$70,J$6)*J52*J50*INDEX(CAL_BatchEtaD,1,J$6)</f>
        <v>0.0357550334998836</v>
      </c>
      <c r="K53" s="103" t="n">
        <f aca="false">INDEX(Calib!$C$70:$G$70,K$6)*K52*K50*INDEX(CAL_BatchEtaD,1,K$6)</f>
        <v>0.0357550334998836</v>
      </c>
      <c r="L53" s="103" t="n">
        <f aca="false">INDEX(Calib!$C$70:$G$70,L$6)*L52*L50*INDEX(CAL_BatchEtaD,1,L$6)</f>
        <v>0.0268162751249127</v>
      </c>
      <c r="M53" s="103" t="n">
        <f aca="false">INDEX(Calib!$C$70:$G$70,M$6)*M52*M50*INDEX(CAL_BatchEtaD,1,M$6)</f>
        <v>0.0268162751249127</v>
      </c>
      <c r="N53" s="103" t="n">
        <f aca="false">INDEX(Calib!$C$70:$G$70,N$6)*N52*N50*INDEX(CAL_BatchEtaD,1,N$6)</f>
        <v>0.0268162751249127</v>
      </c>
      <c r="O53" s="103" t="n">
        <f aca="false">INDEX(Calib!$C$70:$G$70,O$6)*O52*O50*INDEX(CAL_BatchEtaD,1,O$6)</f>
        <v>0.0357550334998836</v>
      </c>
      <c r="P53" s="103" t="n">
        <f aca="false">INDEX(Calib!$C$70:$G$70,P$6)*P52*P50*INDEX(CAL_BatchEtaD,1,P$6)</f>
        <v>0.0357550334998836</v>
      </c>
      <c r="Q53" s="103" t="n">
        <f aca="false">INDEX(Calib!$C$70:$G$70,Q$6)*Q52*Q50*INDEX(CAL_BatchEtaD,1,Q$6)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724</v>
      </c>
      <c r="B54" s="54" t="s">
        <v>83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725</v>
      </c>
      <c r="B55" s="54" t="s">
        <v>481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726</v>
      </c>
      <c r="B56" s="54" t="s">
        <v>79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727</v>
      </c>
      <c r="B57" s="54" t="s">
        <v>79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728</v>
      </c>
      <c r="B58" s="54" t="s">
        <v>79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729</v>
      </c>
      <c r="B59" s="54" t="s">
        <v>236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730</v>
      </c>
      <c r="B60" s="54" t="s">
        <v>79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731</v>
      </c>
      <c r="B61" s="54" t="s">
        <v>79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732</v>
      </c>
      <c r="B62" s="54" t="s">
        <v>446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733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734</v>
      </c>
      <c r="B64" s="54" t="s">
        <v>257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459</v>
      </c>
      <c r="B65" s="54" t="s">
        <v>460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735</v>
      </c>
      <c r="B66" s="54" t="s">
        <v>257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462</v>
      </c>
      <c r="B67" s="54" t="s">
        <v>460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736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463</v>
      </c>
      <c r="B69" s="54" t="s">
        <v>282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737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738</v>
      </c>
      <c r="B71" s="54" t="s">
        <v>698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466</v>
      </c>
      <c r="B72" s="54" t="s">
        <v>282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739</v>
      </c>
      <c r="B73" s="54" t="s">
        <v>79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740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741</v>
      </c>
      <c r="B75" s="54" t="s">
        <v>338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742</v>
      </c>
      <c r="B76" s="54" t="s">
        <v>341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743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744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745</v>
      </c>
      <c r="B79" s="54" t="s">
        <v>471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746</v>
      </c>
      <c r="B80" s="54" t="s">
        <v>471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0.165005112568034</v>
      </c>
      <c r="M80" s="65" t="n">
        <f aca="false">(M47+1)*M65/(M14*M53)/1000</f>
        <v>0.568148555166487</v>
      </c>
      <c r="N80" s="65" t="n">
        <f aca="false">(N47+1)*N65/(N14*N53)/1000</f>
        <v>2.2206611306981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747</v>
      </c>
      <c r="B81" s="54" t="s">
        <v>471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748</v>
      </c>
      <c r="B82" s="54" t="s">
        <v>471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749</v>
      </c>
      <c r="B83" s="54" t="s">
        <v>471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0.165005112568034</v>
      </c>
      <c r="M83" s="65" t="n">
        <f aca="false">MAX(M80,M81,M82)</f>
        <v>0.568148555166487</v>
      </c>
      <c r="N83" s="65" t="n">
        <f aca="false">MAX(N80,N81,N82)</f>
        <v>2.2206611306981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750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751</v>
      </c>
      <c r="B85" s="53" t="s">
        <v>475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719.7769766194</v>
      </c>
      <c r="M85" s="67" t="n">
        <f aca="false">(1000*M49/M41-M79)/M83</f>
        <v>200.916139130242</v>
      </c>
      <c r="N85" s="67" t="n">
        <f aca="false">(1000*N49/N41-N79)/N83</f>
        <v>47.1303448425309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752</v>
      </c>
      <c r="B86" s="53" t="s">
        <v>475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753</v>
      </c>
      <c r="B87" s="53" t="s">
        <v>475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719.7769766194</v>
      </c>
      <c r="M87" s="105" t="n">
        <f aca="false">MAX(0,MIN(M85,M86))</f>
        <v>200.916139130242</v>
      </c>
      <c r="N87" s="105" t="n">
        <f aca="false">MAX(0,MIN(N85,N86))</f>
        <v>47.1303448425309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754</v>
      </c>
      <c r="B88" s="54" t="s">
        <v>338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14395.539532388</v>
      </c>
      <c r="M88" s="63" t="n">
        <f aca="false">IF(M87&gt;0,M87*M49/((M79+M87*M83)/1000),0)</f>
        <v>4018.32278260485</v>
      </c>
      <c r="N88" s="63" t="n">
        <f aca="false">IF(N87&gt;0,N87*N49/((N79+N87*N83)/1000),0)</f>
        <v>942.606896850618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755</v>
      </c>
      <c r="B89" s="54" t="s">
        <v>338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756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757</v>
      </c>
      <c r="B91" s="54" t="s">
        <v>79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0.0635820768284831</v>
      </c>
      <c r="M91" s="78" t="n">
        <f aca="false">M87*M34*M45/1000000000/M69</f>
        <v>0.0503550414475954</v>
      </c>
      <c r="N91" s="78" t="n">
        <f aca="false">N87*N34*N45/1000000000/N69</f>
        <v>0.343192697733345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759</v>
      </c>
      <c r="B93" s="54" t="s">
        <v>760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0.581667550797239</v>
      </c>
      <c r="M93" s="107" t="n">
        <f aca="false">IF(M88&gt;0,M43/M75+M44/M88,0)</f>
        <v>4.17993747553638</v>
      </c>
      <c r="N93" s="107" t="n">
        <f aca="false">IF(N88&gt;0,N43/N75+N44/N88,0)</f>
        <v>35.3877323490646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761</v>
      </c>
      <c r="B94" s="54" t="s">
        <v>79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0.0216659693084227</v>
      </c>
      <c r="M94" s="78" t="n">
        <f aca="false">IF(M93&gt;0,(M43/M75)/M93,0)</f>
        <v>0.0245492790220612</v>
      </c>
      <c r="N94" s="78" t="n">
        <f aca="false">IF(N93&gt;0,(N43/N75)/N93,0)</f>
        <v>0.0176492342761422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762</v>
      </c>
      <c r="B95" s="54" t="s">
        <v>338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1521033.79118772</v>
      </c>
      <c r="M95" s="63" t="n">
        <f aca="false">IF(M93&gt;0,M22*(M43+M44)/M93,0)</f>
        <v>423324.992384709</v>
      </c>
      <c r="N95" s="63" t="n">
        <f aca="false">IF(N93&gt;0,N22*(N43+N44)/N93,0)</f>
        <v>100004.825544962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763</v>
      </c>
      <c r="B96" s="54" t="s">
        <v>338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1014022.52745848</v>
      </c>
      <c r="M96" s="60" t="n">
        <f aca="false">M95*M44/(M43+M44)</f>
        <v>282216.661589806</v>
      </c>
      <c r="N96" s="60" t="n">
        <f aca="false">N95*N44/(N43+N44)</f>
        <v>66669.8836966412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764</v>
      </c>
      <c r="B97" s="54" t="s">
        <v>338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507011.26372924</v>
      </c>
      <c r="M97" s="60" t="n">
        <f aca="false">M95-M96</f>
        <v>141108.330794903</v>
      </c>
      <c r="N97" s="60" t="n">
        <f aca="false">N95-N96</f>
        <v>33334.9418483206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765</v>
      </c>
      <c r="B98" s="54" t="s">
        <v>766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194363587280.806</v>
      </c>
      <c r="M98" s="63" t="n">
        <f aca="false">M95*M25*8760*3600/1000000</f>
        <v>54094106641.2887</v>
      </c>
      <c r="N98" s="63" t="n">
        <f aca="false">N95*N25*8760*3600/1000000</f>
        <v>12779003826.8197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767</v>
      </c>
      <c r="B99" s="54" t="s">
        <v>766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129575724853.871</v>
      </c>
      <c r="M99" s="60" t="n">
        <f aca="false">M96*M25*8760*3600/1000000</f>
        <v>36062737760.8591</v>
      </c>
      <c r="N99" s="60" t="n">
        <f aca="false">N96*N25*8760*3600/1000000</f>
        <v>8519335884.54648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768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769</v>
      </c>
      <c r="B101" s="54" t="s">
        <v>770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771</v>
      </c>
      <c r="B102" s="54" t="s">
        <v>770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772</v>
      </c>
      <c r="B103" s="54" t="s">
        <v>770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69.4659618522901</v>
      </c>
      <c r="M103" s="67" t="n">
        <f aca="false">IF(M88&gt;0,1000000/M88,0)</f>
        <v>248.860047861003</v>
      </c>
      <c r="N103" s="67" t="n">
        <f aca="false">IF(N88&gt;0,1000000/N88,0)</f>
        <v>1060.88763337202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773</v>
      </c>
      <c r="B104" s="54" t="s">
        <v>774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775</v>
      </c>
      <c r="B105" s="54" t="s">
        <v>774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0.0963568936097279</v>
      </c>
      <c r="M105" s="109" t="n">
        <f aca="false">IF(M103&gt;0,INDEX(DC_Cost!$C$58:$Q$58,3*(M$6-1)+2)/3600*M103,0)</f>
        <v>0.345196129385544</v>
      </c>
      <c r="N105" s="109" t="n">
        <f aca="false">IF(N103&gt;0,INDEX(DC_Cost!$C$58:$Q$58,3*(N$6-1)+2)/3600*N103,0)</f>
        <v>1.47156728410483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776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777</v>
      </c>
      <c r="B107" s="54" t="s">
        <v>778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779</v>
      </c>
      <c r="B108" s="54" t="s">
        <v>706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780</v>
      </c>
      <c r="B109" s="54" t="s">
        <v>460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781</v>
      </c>
      <c r="B110" s="54" t="s">
        <v>282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782</v>
      </c>
      <c r="B111" s="54" t="s">
        <v>282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783</v>
      </c>
      <c r="B112" s="54" t="s">
        <v>784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0.00223055847420251</v>
      </c>
      <c r="M112" s="65" t="n">
        <f aca="false">(M109*M107+M110*M24+M111*M108)/1000</f>
        <v>0.00902142637318648</v>
      </c>
      <c r="N112" s="65" t="n">
        <f aca="false">(N109*N107+N110*N24+N111*N108)/1000</f>
        <v>0.0610807313641472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785</v>
      </c>
      <c r="B113" s="54" t="s">
        <v>784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786</v>
      </c>
      <c r="B114" s="54" t="s">
        <v>710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2.76726027368164</v>
      </c>
      <c r="M114" s="67" t="n">
        <f aca="false">(M97*M113+M96*M112)/1000</f>
        <v>3.11868241484556</v>
      </c>
      <c r="N114" s="67" t="n">
        <f aca="false">(N97*N113+N96*N112)/1000</f>
        <v>4.48396659334732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787</v>
      </c>
      <c r="B115" s="54" t="s">
        <v>710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788</v>
      </c>
      <c r="B116" s="54" t="s">
        <v>79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0.0152382173660883</v>
      </c>
      <c r="M116" s="111" t="n">
        <f aca="false">IF(M115&gt;0,M114/M115,0)</f>
        <v>0.0171733613152289</v>
      </c>
      <c r="N116" s="111" t="n">
        <f aca="false">IF(N115&gt;0,N114/N115,0)</f>
        <v>0.0246914459986086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789</v>
      </c>
      <c r="B117" s="54" t="s">
        <v>790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8.37573673561519</v>
      </c>
      <c r="M117" s="112" t="n">
        <f aca="false">M95/(M115*1000)</f>
        <v>2.33108475982769</v>
      </c>
      <c r="N117" s="112" t="n">
        <f aca="false">N95/(N115*1000)</f>
        <v>0.550687365335692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791</v>
      </c>
      <c r="B118" s="54" t="s">
        <v>784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0.175208592671887</v>
      </c>
      <c r="M118" s="107" t="n">
        <f aca="false">IF(M96&gt;0,M115*1000*(1-M94)/M96,0)</f>
        <v>0.627680342938307</v>
      </c>
      <c r="N118" s="107" t="n">
        <f aca="false">IF(N96&gt;0,N115*1000*(1-N94)/N96,0)</f>
        <v>2.67579436417166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964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965</v>
      </c>
      <c r="B120" s="54" t="s">
        <v>79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0.0159244267899521</v>
      </c>
      <c r="M120" s="96" t="n">
        <f aca="false">IF(M88&gt;0,M88*M65*1000000000/(M14*1000000000000000),0)</f>
        <v>0.0153054177419389</v>
      </c>
      <c r="N120" s="96" t="n">
        <f aca="false">IF(N88&gt;0,N88*N65*1000000000/(N14*1000000000000000),0)</f>
        <v>0.0140330271479179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966</v>
      </c>
      <c r="B121" s="54" t="s">
        <v>79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0.0318488535799042</v>
      </c>
      <c r="M121" s="136" t="n">
        <f aca="false">IF(M88&gt;0,M88*M65*1000000000/(INDEX(Spec_Rack!$C$40:$G$40,M$6)*1000000000000000),0)</f>
        <v>0.0306108354838777</v>
      </c>
      <c r="N121" s="136" t="n">
        <f aca="false">IF(N88&gt;0,N88*N65*1000000000/(INDEX(Spec_Rack!$C$40:$G$40,N$6)*1000000000000000),0)</f>
        <v>0.0280660542958358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0" t="s">
        <v>967</v>
      </c>
    </row>
    <row r="2" customFormat="false" ht="15" hidden="false" customHeight="false" outlineLevel="0" collapsed="false">
      <c r="A2" s="66" t="s">
        <v>968</v>
      </c>
    </row>
    <row r="4" customFormat="false" ht="15" hidden="false" customHeight="false" outlineLevel="0" collapsed="false">
      <c r="A4" s="10" t="s">
        <v>144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10" t="s">
        <v>689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10" t="s">
        <v>419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10" t="s">
        <v>690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970</v>
      </c>
      <c r="B10" s="54" t="s">
        <v>443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971</v>
      </c>
      <c r="B11" s="54" t="s">
        <v>83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972</v>
      </c>
      <c r="B12" s="54" t="s">
        <v>443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973</v>
      </c>
      <c r="B13" s="54" t="s">
        <v>79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974</v>
      </c>
      <c r="B14" s="54" t="s">
        <v>83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975</v>
      </c>
      <c r="B15" s="54" t="s">
        <v>83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976</v>
      </c>
      <c r="B16" s="54" t="s">
        <v>79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977</v>
      </c>
      <c r="B17" s="54" t="s">
        <v>79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978</v>
      </c>
      <c r="B18" s="53" t="s">
        <v>702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979</v>
      </c>
      <c r="B19" s="54" t="s">
        <v>819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980</v>
      </c>
      <c r="B20" s="54" t="s">
        <v>819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711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239</v>
      </c>
      <c r="B22" s="54" t="s">
        <v>236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454</v>
      </c>
      <c r="B23" s="54" t="s">
        <v>280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254</v>
      </c>
      <c r="B24" s="54" t="s">
        <v>79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714</v>
      </c>
      <c r="B25" s="54" t="s">
        <v>257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260</v>
      </c>
      <c r="B26" s="54" t="s">
        <v>83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262</v>
      </c>
      <c r="B27" s="54" t="s">
        <v>257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692</v>
      </c>
      <c r="B28" s="54" t="s">
        <v>83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981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982</v>
      </c>
      <c r="B30" s="54" t="s">
        <v>83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919</v>
      </c>
      <c r="B31" s="54" t="s">
        <v>920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983</v>
      </c>
      <c r="B32" s="54" t="s">
        <v>257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984</v>
      </c>
      <c r="B33" s="54" t="s">
        <v>257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985</v>
      </c>
      <c r="B34" s="54" t="s">
        <v>460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986</v>
      </c>
      <c r="B35" s="54" t="s">
        <v>280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987</v>
      </c>
      <c r="B36" s="54" t="s">
        <v>988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990</v>
      </c>
      <c r="B38" s="54" t="s">
        <v>920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983</v>
      </c>
      <c r="B39" s="54" t="s">
        <v>257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991</v>
      </c>
      <c r="B40" s="54" t="s">
        <v>257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985</v>
      </c>
      <c r="B41" s="54" t="s">
        <v>460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992</v>
      </c>
      <c r="B42" s="54" t="s">
        <v>280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993</v>
      </c>
      <c r="B43" s="54" t="s">
        <v>988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994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927</v>
      </c>
      <c r="B45" s="54" t="s">
        <v>920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983</v>
      </c>
      <c r="B46" s="54" t="s">
        <v>257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991</v>
      </c>
      <c r="B47" s="54" t="s">
        <v>257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985</v>
      </c>
      <c r="B48" s="54" t="s">
        <v>460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995</v>
      </c>
      <c r="B49" s="54" t="s">
        <v>280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996</v>
      </c>
      <c r="B50" s="54" t="s">
        <v>83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997</v>
      </c>
      <c r="B51" s="54" t="s">
        <v>988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998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999</v>
      </c>
      <c r="B53" s="54" t="s">
        <v>920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1000</v>
      </c>
      <c r="B54" s="54" t="s">
        <v>257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1001</v>
      </c>
      <c r="B55" s="54" t="s">
        <v>257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1002</v>
      </c>
      <c r="B56" s="53" t="s">
        <v>295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1003</v>
      </c>
      <c r="B57" s="53" t="s">
        <v>295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1004</v>
      </c>
      <c r="B58" s="54" t="s">
        <v>920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1005</v>
      </c>
      <c r="B59" s="54" t="s">
        <v>770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69.4659618522901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1006</v>
      </c>
      <c r="B60" s="54" t="s">
        <v>770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1007</v>
      </c>
      <c r="B61" s="54" t="s">
        <v>460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1008</v>
      </c>
      <c r="B62" s="54" t="s">
        <v>460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1009</v>
      </c>
      <c r="B63" s="54" t="s">
        <v>83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1010</v>
      </c>
      <c r="B64" s="54" t="s">
        <v>79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1011</v>
      </c>
      <c r="B65" s="54" t="s">
        <v>988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53649.2093802251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1012</v>
      </c>
      <c r="B66" s="54" t="s">
        <v>280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1013</v>
      </c>
      <c r="B67" s="54" t="s">
        <v>920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1014</v>
      </c>
      <c r="B68" s="54" t="s">
        <v>257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1015</v>
      </c>
      <c r="B69" s="54" t="s">
        <v>460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1016</v>
      </c>
      <c r="B70" s="54" t="s">
        <v>280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1017</v>
      </c>
      <c r="B71" s="54" t="s">
        <v>83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1018</v>
      </c>
      <c r="B72" s="54" t="s">
        <v>988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1019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1020</v>
      </c>
      <c r="B74" s="54" t="s">
        <v>988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1021</v>
      </c>
      <c r="B75" s="54" t="s">
        <v>988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107305.134642035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1022</v>
      </c>
      <c r="B76" s="54" t="s">
        <v>280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1023</v>
      </c>
      <c r="B77" s="54" t="s">
        <v>79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0.0746224482738129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1024</v>
      </c>
      <c r="B78" s="54" t="s">
        <v>83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0.379829822080908</v>
      </c>
      <c r="M78" s="97" t="n">
        <f aca="false">M75/M36</f>
        <v>0.371397626434424</v>
      </c>
      <c r="N78" s="97" t="n">
        <f aca="false">N75/N36</f>
        <v>1.12717162997901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1025</v>
      </c>
      <c r="B79" s="54" t="s">
        <v>83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1026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1027</v>
      </c>
      <c r="B81" s="54" t="s">
        <v>920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1028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1029</v>
      </c>
      <c r="B83" s="54" t="s">
        <v>920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1030</v>
      </c>
      <c r="B84" s="54" t="s">
        <v>770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1031</v>
      </c>
      <c r="B85" s="54" t="s">
        <v>460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1032</v>
      </c>
      <c r="B86" s="54" t="s">
        <v>988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4540.25894459413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1033</v>
      </c>
      <c r="B87" s="54" t="s">
        <v>988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1034</v>
      </c>
      <c r="B88" s="54" t="s">
        <v>280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1035</v>
      </c>
      <c r="B89" s="54" t="s">
        <v>988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1036</v>
      </c>
      <c r="B90" s="54" t="s">
        <v>988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9343.76756235674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1037</v>
      </c>
      <c r="B91" s="54" t="s">
        <v>280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1039</v>
      </c>
      <c r="B93" s="54" t="s">
        <v>920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1040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1041</v>
      </c>
      <c r="B95" s="54" t="s">
        <v>770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1042</v>
      </c>
      <c r="B96" s="54" t="s">
        <v>460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1043</v>
      </c>
      <c r="B97" s="54" t="s">
        <v>988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294691.009270007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1044</v>
      </c>
      <c r="B98" s="54" t="s">
        <v>280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943</v>
      </c>
      <c r="B99" s="54" t="s">
        <v>920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1045</v>
      </c>
      <c r="B100" s="54" t="s">
        <v>988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385.922010290501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1046</v>
      </c>
      <c r="B101" s="54" t="s">
        <v>280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1047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1048</v>
      </c>
      <c r="B103" s="54" t="s">
        <v>988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1049</v>
      </c>
      <c r="B104" s="54" t="s">
        <v>988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117217.93801916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1050</v>
      </c>
      <c r="B105" s="54" t="s">
        <v>988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295076.931280297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1051</v>
      </c>
      <c r="B106" s="54" t="s">
        <v>988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704197.648874947</v>
      </c>
      <c r="M106" s="63" t="n">
        <f aca="false">M103+M104+M105</f>
        <v>2051289.25958755</v>
      </c>
      <c r="N106" s="63" t="n">
        <f aca="false">N103+N104+N105</f>
        <v>12784087.465584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1052</v>
      </c>
      <c r="B107" s="54" t="s">
        <v>280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1053</v>
      </c>
      <c r="B108" s="54" t="s">
        <v>280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1054</v>
      </c>
      <c r="B109" s="54" t="s">
        <v>280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1055</v>
      </c>
      <c r="B110" s="54" t="s">
        <v>79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1056</v>
      </c>
      <c r="B111" s="54" t="s">
        <v>79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0.286511860627156</v>
      </c>
      <c r="M111" s="94" t="n">
        <f aca="false">M104/(M103+M104)</f>
        <v>0.282310936548276</v>
      </c>
      <c r="N111" s="94" t="n">
        <f aca="false">N104/(N103+N104)</f>
        <v>0.521148040333377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1057</v>
      </c>
      <c r="B112" s="54" t="s">
        <v>988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353522.795912556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1058</v>
      </c>
      <c r="B113" s="54" t="s">
        <v>988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1059</v>
      </c>
      <c r="B114" s="54" t="s">
        <v>79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0.502022119041945</v>
      </c>
      <c r="M114" s="96" t="n">
        <f aca="false">M112/M106</f>
        <v>0.391159262955</v>
      </c>
      <c r="N114" s="96" t="n">
        <f aca="false">N112/N106</f>
        <v>0.337769132370908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1060</v>
      </c>
      <c r="B115" s="54" t="s">
        <v>844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3.51647722200591</v>
      </c>
      <c r="M115" s="105" t="n">
        <f aca="false">M106*M19/1000000</f>
        <v>10.2433059363508</v>
      </c>
      <c r="N115" s="105" t="n">
        <f aca="false">N106*N19/1000000</f>
        <v>63.8385436939176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1061</v>
      </c>
      <c r="B116" s="54" t="s">
        <v>844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2.62560249109335</v>
      </c>
      <c r="M116" s="67" t="n">
        <f aca="false">M106*M20/1000000</f>
        <v>7.64823654059452</v>
      </c>
      <c r="N116" s="67" t="n">
        <f aca="false">N106*N20/1000000</f>
        <v>47.6654983861688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1062</v>
      </c>
      <c r="B117" s="54" t="s">
        <v>79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0.000275542460035546</v>
      </c>
      <c r="M117" s="138" t="n">
        <f aca="false">M106/(M18*8760)</f>
        <v>0.000802640124877243</v>
      </c>
      <c r="N117" s="138" t="n">
        <f aca="false">N106/(N18*8760)</f>
        <v>0.00500223043232874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1063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1064</v>
      </c>
      <c r="B119" s="54" t="s">
        <v>83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1065</v>
      </c>
      <c r="B120" s="54" t="s">
        <v>988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5633581.19099958</v>
      </c>
      <c r="M120" s="63" t="n">
        <f aca="false">M106*M119</f>
        <v>16410314.0767004</v>
      </c>
      <c r="N120" s="63" t="n">
        <f aca="false">N106*N119</f>
        <v>102272699.724672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1066</v>
      </c>
      <c r="B121" s="54" t="s">
        <v>988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4929383.54212463</v>
      </c>
      <c r="M121" s="60" t="n">
        <f aca="false">M120-M106</f>
        <v>14359024.8171129</v>
      </c>
      <c r="N121" s="60" t="n">
        <f aca="false">N120-N106</f>
        <v>89488612.259088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1067</v>
      </c>
      <c r="B122" s="54" t="s">
        <v>844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28.1318177760473</v>
      </c>
      <c r="M122" s="63" t="n">
        <f aca="false">M120*M19/1000000</f>
        <v>81.946447490806</v>
      </c>
      <c r="N122" s="63" t="n">
        <f aca="false">N120*N19/1000000</f>
        <v>510.708349551341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1068</v>
      </c>
      <c r="B123" s="54" t="s">
        <v>79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0.00220433968028437</v>
      </c>
      <c r="M123" s="93" t="n">
        <f aca="false">M120/(M18*8760)</f>
        <v>0.00642112099901794</v>
      </c>
      <c r="N123" s="93" t="n">
        <f aca="false">N120/(N18*8760)</f>
        <v>0.0400178434586299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1069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1070</v>
      </c>
      <c r="B125" s="54" t="s">
        <v>988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1071</v>
      </c>
      <c r="B126" s="54" t="s">
        <v>988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58445.864632259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1072</v>
      </c>
      <c r="B127" s="54" t="s">
        <v>988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1073</v>
      </c>
      <c r="B128" s="54" t="s">
        <v>988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295076.931280297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1074</v>
      </c>
      <c r="B129" s="54" t="s">
        <v>988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4929383.54212463</v>
      </c>
      <c r="M129" s="60" t="n">
        <f aca="false">M121</f>
        <v>14359024.8171129</v>
      </c>
      <c r="N129" s="60" t="n">
        <f aca="false">N121</f>
        <v>89488612.259088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1075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1076</v>
      </c>
      <c r="B131" s="54" t="s">
        <v>988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15539574.3740465</v>
      </c>
      <c r="M131" s="63" t="n">
        <f aca="false">SUMPRODUCT(($C$6:$Q$6=M$6)*$C$106:$Q$106)</f>
        <v>15539574.3740465</v>
      </c>
      <c r="N131" s="63" t="n">
        <f aca="false">SUMPRODUCT(($C$6:$Q$6=N$6)*$C$106:$Q$106)</f>
        <v>15539574.3740465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1077</v>
      </c>
      <c r="B132" s="54" t="s">
        <v>988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124316594.992372</v>
      </c>
      <c r="M132" s="63" t="n">
        <f aca="false">SUMPRODUCT(($C$6:$Q$6=M$6)*$C$120:$Q$120)</f>
        <v>124316594.992372</v>
      </c>
      <c r="N132" s="63" t="n">
        <f aca="false">SUMPRODUCT(($C$6:$Q$6=N$6)*$C$120:$Q$120)</f>
        <v>124316594.992372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1078</v>
      </c>
      <c r="B133" s="54" t="s">
        <v>844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620.786614818194</v>
      </c>
      <c r="M133" s="63" t="n">
        <f aca="false">SUMPRODUCT(($C$6:$Q$6=M$6)*$C$122:$Q$122)</f>
        <v>620.786614818194</v>
      </c>
      <c r="N133" s="63" t="n">
        <f aca="false">SUMPRODUCT(($C$6:$Q$6=N$6)*$C$122:$Q$122)</f>
        <v>620.786614818194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1079</v>
      </c>
      <c r="B134" s="54" t="s">
        <v>79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0.0486433041379322</v>
      </c>
      <c r="M134" s="93" t="n">
        <f aca="false">SUMPRODUCT(($C$6:$Q$6=M$6)*$C$123:$Q$123)</f>
        <v>0.0486433041379322</v>
      </c>
      <c r="N134" s="93" t="n">
        <f aca="false">SUMPRODUCT(($C$6:$Q$6=N$6)*$C$123:$Q$123)</f>
        <v>0.0486433041379322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0" t="s">
        <v>1080</v>
      </c>
    </row>
    <row r="2" customFormat="false" ht="15" hidden="false" customHeight="false" outlineLevel="0" collapsed="false">
      <c r="A2" s="66" t="s">
        <v>1081</v>
      </c>
    </row>
    <row r="3" customFormat="false" ht="43.5" hidden="false" customHeight="true" outlineLevel="0" collapsed="false">
      <c r="A3" s="10" t="s">
        <v>796</v>
      </c>
      <c r="C3" s="113" t="s">
        <v>65</v>
      </c>
      <c r="D3" s="113"/>
      <c r="E3" s="113" t="s">
        <v>1082</v>
      </c>
      <c r="F3" s="113"/>
      <c r="G3" s="113" t="s">
        <v>1083</v>
      </c>
      <c r="H3" s="113"/>
      <c r="I3" s="114" t="s">
        <v>1084</v>
      </c>
      <c r="J3" s="114"/>
      <c r="K3" s="113" t="s">
        <v>1085</v>
      </c>
      <c r="L3" s="113"/>
      <c r="M3" s="113" t="s">
        <v>1086</v>
      </c>
      <c r="N3" s="113"/>
      <c r="O3" s="114" t="s">
        <v>1087</v>
      </c>
      <c r="P3" s="114"/>
      <c r="Q3" s="114" t="s">
        <v>1088</v>
      </c>
      <c r="R3" s="114"/>
      <c r="S3" s="114" t="s">
        <v>1089</v>
      </c>
      <c r="T3" s="114"/>
      <c r="U3" s="114" t="s">
        <v>1090</v>
      </c>
      <c r="V3" s="114"/>
      <c r="W3" s="114" t="s">
        <v>1091</v>
      </c>
      <c r="X3" s="114"/>
      <c r="Y3" s="113" t="s">
        <v>1092</v>
      </c>
      <c r="Z3" s="113"/>
      <c r="AA3" s="113" t="s">
        <v>1093</v>
      </c>
      <c r="AB3" s="113"/>
      <c r="AC3" s="113" t="s">
        <v>1094</v>
      </c>
      <c r="AD3" s="113"/>
      <c r="AE3" s="113" t="s">
        <v>1095</v>
      </c>
      <c r="AF3" s="113"/>
      <c r="AG3" s="114" t="s">
        <v>1096</v>
      </c>
      <c r="AH3" s="114"/>
    </row>
    <row r="4" customFormat="false" ht="15" hidden="false" customHeight="false" outlineLevel="0" collapsed="false">
      <c r="A4" s="10" t="s">
        <v>144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10" t="s">
        <v>689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10" t="s">
        <v>419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10" t="s">
        <v>690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10" t="s">
        <v>1097</v>
      </c>
      <c r="B8" s="54" t="s">
        <v>83</v>
      </c>
      <c r="C8" s="51" t="s">
        <v>587</v>
      </c>
      <c r="D8" s="51" t="s">
        <v>587</v>
      </c>
      <c r="E8" s="51" t="s">
        <v>587</v>
      </c>
      <c r="F8" s="51" t="s">
        <v>587</v>
      </c>
      <c r="G8" s="51" t="s">
        <v>587</v>
      </c>
      <c r="H8" s="51" t="s">
        <v>587</v>
      </c>
      <c r="I8" s="51" t="s">
        <v>587</v>
      </c>
      <c r="J8" s="51" t="s">
        <v>587</v>
      </c>
      <c r="K8" s="51" t="s">
        <v>587</v>
      </c>
      <c r="L8" s="51" t="s">
        <v>587</v>
      </c>
      <c r="M8" s="51" t="s">
        <v>587</v>
      </c>
      <c r="N8" s="51" t="s">
        <v>587</v>
      </c>
      <c r="O8" s="73" t="n">
        <v>0.3</v>
      </c>
      <c r="P8" s="73" t="n">
        <v>0.3</v>
      </c>
      <c r="Q8" s="73" t="n">
        <v>3</v>
      </c>
      <c r="R8" s="73" t="n">
        <v>3</v>
      </c>
      <c r="S8" s="51" t="s">
        <v>587</v>
      </c>
      <c r="T8" s="51" t="s">
        <v>587</v>
      </c>
      <c r="U8" s="51" t="s">
        <v>587</v>
      </c>
      <c r="V8" s="51" t="s">
        <v>587</v>
      </c>
      <c r="W8" s="51" t="s">
        <v>587</v>
      </c>
      <c r="X8" s="51" t="s">
        <v>587</v>
      </c>
      <c r="Y8" s="73" t="n">
        <v>0</v>
      </c>
      <c r="Z8" s="73" t="n">
        <v>0</v>
      </c>
      <c r="AA8" s="73" t="n">
        <v>3</v>
      </c>
      <c r="AB8" s="73" t="n">
        <v>3</v>
      </c>
      <c r="AC8" s="51" t="s">
        <v>587</v>
      </c>
      <c r="AD8" s="51" t="s">
        <v>587</v>
      </c>
      <c r="AE8" s="51" t="s">
        <v>587</v>
      </c>
      <c r="AF8" s="51" t="s">
        <v>587</v>
      </c>
      <c r="AG8" s="51" t="s">
        <v>587</v>
      </c>
      <c r="AH8" s="51" t="s">
        <v>587</v>
      </c>
    </row>
    <row r="9" customFormat="false" ht="15" hidden="false" customHeight="false" outlineLevel="0" collapsed="false">
      <c r="A9" s="68" t="s">
        <v>969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970</v>
      </c>
      <c r="B10" s="54" t="s">
        <v>443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971</v>
      </c>
      <c r="B11" s="54" t="s">
        <v>83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972</v>
      </c>
      <c r="B12" s="54" t="s">
        <v>443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973</v>
      </c>
      <c r="B13" s="54" t="s">
        <v>79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974</v>
      </c>
      <c r="B14" s="54" t="s">
        <v>83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975</v>
      </c>
      <c r="B15" s="54" t="s">
        <v>83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976</v>
      </c>
      <c r="B16" s="54" t="s">
        <v>79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977</v>
      </c>
      <c r="B17" s="54" t="s">
        <v>79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978</v>
      </c>
      <c r="B18" s="53" t="s">
        <v>702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979</v>
      </c>
      <c r="B19" s="54" t="s">
        <v>819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980</v>
      </c>
      <c r="B20" s="54" t="s">
        <v>819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711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239</v>
      </c>
      <c r="B22" s="54" t="s">
        <v>236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454</v>
      </c>
      <c r="B23" s="54" t="s">
        <v>280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254</v>
      </c>
      <c r="B24" s="54" t="s">
        <v>79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714</v>
      </c>
      <c r="B25" s="54" t="s">
        <v>257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260</v>
      </c>
      <c r="B26" s="54" t="s">
        <v>83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262</v>
      </c>
      <c r="B27" s="54" t="s">
        <v>257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692</v>
      </c>
      <c r="B28" s="54" t="s">
        <v>83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981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982</v>
      </c>
      <c r="B30" s="54" t="s">
        <v>83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919</v>
      </c>
      <c r="B31" s="54" t="s">
        <v>920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983</v>
      </c>
      <c r="B32" s="54" t="s">
        <v>257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984</v>
      </c>
      <c r="B33" s="54" t="s">
        <v>257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985</v>
      </c>
      <c r="B34" s="54" t="s">
        <v>460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986</v>
      </c>
      <c r="B35" s="54" t="s">
        <v>280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987</v>
      </c>
      <c r="B36" s="54" t="s">
        <v>988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989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990</v>
      </c>
      <c r="B38" s="54" t="s">
        <v>920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983</v>
      </c>
      <c r="B39" s="54" t="s">
        <v>257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991</v>
      </c>
      <c r="B40" s="54" t="s">
        <v>257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985</v>
      </c>
      <c r="B41" s="54" t="s">
        <v>460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992</v>
      </c>
      <c r="B42" s="54" t="s">
        <v>280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993</v>
      </c>
      <c r="B43" s="54" t="s">
        <v>988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994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927</v>
      </c>
      <c r="B45" s="54" t="s">
        <v>920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983</v>
      </c>
      <c r="B46" s="54" t="s">
        <v>257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991</v>
      </c>
      <c r="B47" s="54" t="s">
        <v>257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985</v>
      </c>
      <c r="B48" s="54" t="s">
        <v>460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995</v>
      </c>
      <c r="B49" s="54" t="s">
        <v>280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996</v>
      </c>
      <c r="B50" s="54" t="s">
        <v>83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997</v>
      </c>
      <c r="B51" s="54" t="s">
        <v>988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998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999</v>
      </c>
      <c r="B53" s="54" t="s">
        <v>920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1000</v>
      </c>
      <c r="B54" s="54" t="s">
        <v>257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1001</v>
      </c>
      <c r="B55" s="54" t="s">
        <v>257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1002</v>
      </c>
      <c r="B56" s="53" t="s">
        <v>295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1003</v>
      </c>
      <c r="B57" s="53" t="s">
        <v>295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1004</v>
      </c>
      <c r="B58" s="54" t="s">
        <v>920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1005</v>
      </c>
      <c r="B59" s="54" t="s">
        <v>770</v>
      </c>
      <c r="C59" s="91" t="n">
        <f aca="false">INDEX(Perf_Batch!$C$103:$Q$103,3*(C$6-1)+C$7)</f>
        <v>248.860047861003</v>
      </c>
      <c r="D59" s="91" t="n">
        <f aca="false">INDEX(Perf_Batch!$C$103:$Q$103,3*(D$6-1)+D$7)</f>
        <v>1060.88763337202</v>
      </c>
      <c r="E59" s="91" t="n">
        <f aca="false">INDEX(Perf_Batch!$C$103:$Q$103,3*(E$6-1)+E$7)</f>
        <v>248.860047861003</v>
      </c>
      <c r="F59" s="91" t="n">
        <f aca="false">INDEX(Perf_Batch!$C$103:$Q$103,3*(F$6-1)+F$7)</f>
        <v>1060.88763337202</v>
      </c>
      <c r="G59" s="91" t="n">
        <f aca="false">INDEX(Perf_Batch!$C$103:$Q$103,3*(G$6-1)+G$7)</f>
        <v>248.860047861003</v>
      </c>
      <c r="H59" s="91" t="n">
        <f aca="false">INDEX(Perf_Batch!$C$103:$Q$103,3*(H$6-1)+H$7)</f>
        <v>1060.88763337202</v>
      </c>
      <c r="I59" s="91" t="n">
        <f aca="false">INDEX(Perf_Batch!$C$103:$Q$103,3*(I$6-1)+I$7)</f>
        <v>248.860047861003</v>
      </c>
      <c r="J59" s="91" t="n">
        <f aca="false">INDEX(Perf_Batch!$C$103:$Q$103,3*(J$6-1)+J$7)</f>
        <v>1060.88763337202</v>
      </c>
      <c r="K59" s="91" t="n">
        <f aca="false">INDEX(Perf_Batch!$C$103:$Q$103,3*(K$6-1)+K$7)</f>
        <v>248.860047861003</v>
      </c>
      <c r="L59" s="91" t="n">
        <f aca="false">INDEX(Perf_Batch!$C$103:$Q$103,3*(L$6-1)+L$7)</f>
        <v>1060.88763337202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248.860047861003</v>
      </c>
      <c r="P59" s="91" t="n">
        <f aca="false">INDEX(Perf_Batch!$C$103:$Q$103,3*(P$6-1)+P$7)</f>
        <v>1060.88763337202</v>
      </c>
      <c r="Q59" s="91" t="n">
        <f aca="false">INDEX(Perf_Batch!$C$103:$Q$103,3*(Q$6-1)+Q$7)</f>
        <v>248.860047861003</v>
      </c>
      <c r="R59" s="91" t="n">
        <f aca="false">INDEX(Perf_Batch!$C$103:$Q$103,3*(R$6-1)+R$7)</f>
        <v>1060.88763337202</v>
      </c>
      <c r="S59" s="91" t="n">
        <f aca="false">INDEX(Perf_Batch!$C$103:$Q$103,3*(S$6-1)+S$7)</f>
        <v>248.860047861003</v>
      </c>
      <c r="T59" s="91" t="n">
        <f aca="false">INDEX(Perf_Batch!$C$103:$Q$103,3*(T$6-1)+T$7)</f>
        <v>1060.88763337202</v>
      </c>
      <c r="U59" s="91" t="n">
        <f aca="false">INDEX(Perf_Batch!$C$103:$Q$103,3*(U$6-1)+U$7)</f>
        <v>248.860047861003</v>
      </c>
      <c r="V59" s="91" t="n">
        <f aca="false">INDEX(Perf_Batch!$C$103:$Q$103,3*(V$6-1)+V$7)</f>
        <v>1060.88763337202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248.860047861003</v>
      </c>
      <c r="Z59" s="91" t="n">
        <f aca="false">INDEX(Perf_Batch!$C$103:$Q$103,3*(Z$6-1)+Z$7)</f>
        <v>1060.88763337202</v>
      </c>
      <c r="AA59" s="91" t="n">
        <f aca="false">INDEX(Perf_Batch!$C$103:$Q$103,3*(AA$6-1)+AA$7)</f>
        <v>248.860047861003</v>
      </c>
      <c r="AB59" s="91" t="n">
        <f aca="false">INDEX(Perf_Batch!$C$103:$Q$103,3*(AB$6-1)+AB$7)</f>
        <v>1060.88763337202</v>
      </c>
      <c r="AC59" s="91" t="n">
        <f aca="false">INDEX(Perf_Batch!$C$103:$Q$103,3*(AC$6-1)+AC$7)</f>
        <v>248.860047861003</v>
      </c>
      <c r="AD59" s="91" t="n">
        <f aca="false">INDEX(Perf_Batch!$C$103:$Q$103,3*(AD$6-1)+AD$7)</f>
        <v>1060.88763337202</v>
      </c>
      <c r="AE59" s="91" t="n">
        <f aca="false">INDEX(Perf_Batch!$C$103:$Q$103,3*(AE$6-1)+AE$7)</f>
        <v>248.860047861003</v>
      </c>
      <c r="AF59" s="91" t="n">
        <f aca="false">INDEX(Perf_Batch!$C$103:$Q$103,3*(AF$6-1)+AF$7)</f>
        <v>1060.88763337202</v>
      </c>
      <c r="AG59" s="91" t="n">
        <f aca="false">INDEX(Perf_Batch!$C$103:$Q$103,3*(AG$6-1)+AG$7)</f>
        <v>248.860047861003</v>
      </c>
      <c r="AH59" s="91" t="n">
        <f aca="false">INDEX(Perf_Batch!$C$103:$Q$103,3*(AH$6-1)+AH$7)</f>
        <v>1060.88763337202</v>
      </c>
    </row>
    <row r="60" customFormat="false" ht="15" hidden="false" customHeight="false" outlineLevel="0" collapsed="false">
      <c r="A60" s="54" t="s">
        <v>1006</v>
      </c>
      <c r="B60" s="54" t="s">
        <v>770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1007</v>
      </c>
      <c r="B61" s="54" t="s">
        <v>460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1008</v>
      </c>
      <c r="B62" s="54" t="s">
        <v>460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1009</v>
      </c>
      <c r="B63" s="54" t="s">
        <v>83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1010</v>
      </c>
      <c r="B64" s="54" t="s">
        <v>79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1011</v>
      </c>
      <c r="B65" s="54" t="s">
        <v>988</v>
      </c>
      <c r="C65" s="60" t="n">
        <f aca="false">(C53*1000000*C59+C58*1000000*C60)/3600/C64</f>
        <v>192233.176009909</v>
      </c>
      <c r="D65" s="60" t="n">
        <f aca="false">(D53*1000000*D59+D58*1000000*D60)/3600/D64</f>
        <v>3332012.23278618</v>
      </c>
      <c r="E65" s="60" t="n">
        <f aca="false">(E53*1000000*E59+E58*1000000*E60)/3600/E64</f>
        <v>192233.176009909</v>
      </c>
      <c r="F65" s="60" t="n">
        <f aca="false">(F53*1000000*F59+F58*1000000*F60)/3600/F64</f>
        <v>3332012.23278618</v>
      </c>
      <c r="G65" s="60" t="n">
        <f aca="false">(G53*1000000*G59+G58*1000000*G60)/3600/G64</f>
        <v>192233.176009909</v>
      </c>
      <c r="H65" s="60" t="n">
        <f aca="false">(H53*1000000*H59+H58*1000000*H60)/3600/H64</f>
        <v>3332012.23278618</v>
      </c>
      <c r="I65" s="60" t="n">
        <f aca="false">(I53*1000000*I59+I58*1000000*I60)/3600/I64</f>
        <v>192233.176009909</v>
      </c>
      <c r="J65" s="60" t="n">
        <f aca="false">(J53*1000000*J59+J58*1000000*J60)/3600/J64</f>
        <v>3332012.23278618</v>
      </c>
      <c r="K65" s="60" t="n">
        <f aca="false">(K53*1000000*K59+K58*1000000*K60)/3600/K64</f>
        <v>192233.176009909</v>
      </c>
      <c r="L65" s="60" t="n">
        <f aca="false">(L53*1000000*L59+L58*1000000*L60)/3600/L64</f>
        <v>3332012.23278618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57669.9528029726</v>
      </c>
      <c r="P65" s="60" t="n">
        <f aca="false">(P53*1000000*P59+P58*1000000*P60)/3600/P64</f>
        <v>999603.669835855</v>
      </c>
      <c r="Q65" s="60" t="n">
        <f aca="false">(Q53*1000000*Q59+Q58*1000000*Q60)/3600/Q64</f>
        <v>576699.528029727</v>
      </c>
      <c r="R65" s="60" t="n">
        <f aca="false">(R53*1000000*R59+R58*1000000*R60)/3600/R64</f>
        <v>9996036.69835855</v>
      </c>
      <c r="S65" s="60" t="n">
        <f aca="false">(S53*1000000*S59+S58*1000000*S60)/3600/S64</f>
        <v>272330.332680704</v>
      </c>
      <c r="T65" s="60" t="n">
        <f aca="false">(T53*1000000*T59+T58*1000000*T60)/3600/T64</f>
        <v>4720350.66311376</v>
      </c>
      <c r="U65" s="60" t="n">
        <f aca="false">(U53*1000000*U59+U58*1000000*U60)/3600/U64</f>
        <v>171998.104850971</v>
      </c>
      <c r="V65" s="60" t="n">
        <f aca="false">(V53*1000000*V59+V58*1000000*V60)/3600/V64</f>
        <v>2981274.10301922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192233.176009909</v>
      </c>
      <c r="Z65" s="60" t="n">
        <f aca="false">(Z53*1000000*Z59+Z58*1000000*Z60)/3600/Z64</f>
        <v>3332012.23278618</v>
      </c>
      <c r="AA65" s="60" t="n">
        <f aca="false">(AA53*1000000*AA59+AA58*1000000*AA60)/3600/AA64</f>
        <v>192233.176009909</v>
      </c>
      <c r="AB65" s="60" t="n">
        <f aca="false">(AB53*1000000*AB59+AB58*1000000*AB60)/3600/AB64</f>
        <v>3332012.23278618</v>
      </c>
      <c r="AC65" s="60" t="n">
        <f aca="false">(AC53*1000000*AC59+AC58*1000000*AC60)/3600/AC64</f>
        <v>192233.176009909</v>
      </c>
      <c r="AD65" s="60" t="n">
        <f aca="false">(AD53*1000000*AD59+AD58*1000000*AD60)/3600/AD64</f>
        <v>3332012.23278618</v>
      </c>
      <c r="AE65" s="60" t="n">
        <f aca="false">(AE53*1000000*AE59+AE58*1000000*AE60)/3600/AE64</f>
        <v>192233.176009909</v>
      </c>
      <c r="AF65" s="60" t="n">
        <f aca="false">(AF53*1000000*AF59+AF58*1000000*AF60)/3600/AF64</f>
        <v>3332012.23278618</v>
      </c>
      <c r="AG65" s="60" t="n">
        <f aca="false">(AG53*1000000*AG59+AG58*1000000*AG60)/3600/AG64</f>
        <v>192233.176009909</v>
      </c>
      <c r="AH65" s="60" t="n">
        <f aca="false">(AH53*1000000*AH59+AH58*1000000*AH60)/3600/AH64</f>
        <v>3332012.23278618</v>
      </c>
    </row>
    <row r="66" customFormat="false" ht="15" hidden="false" customHeight="false" outlineLevel="0" collapsed="false">
      <c r="A66" s="54" t="s">
        <v>1012</v>
      </c>
      <c r="B66" s="54" t="s">
        <v>280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1013</v>
      </c>
      <c r="B67" s="54" t="s">
        <v>920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1014</v>
      </c>
      <c r="B68" s="54" t="s">
        <v>257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1015</v>
      </c>
      <c r="B69" s="54" t="s">
        <v>460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1016</v>
      </c>
      <c r="B70" s="54" t="s">
        <v>280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1017</v>
      </c>
      <c r="B71" s="54" t="s">
        <v>83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1018</v>
      </c>
      <c r="B72" s="54" t="s">
        <v>988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1019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1020</v>
      </c>
      <c r="B74" s="54" t="s">
        <v>988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1021</v>
      </c>
      <c r="B75" s="54" t="s">
        <v>988</v>
      </c>
      <c r="C75" s="63" t="n">
        <f aca="false">C65+C72+C74</f>
        <v>376831.791251579</v>
      </c>
      <c r="D75" s="63" t="n">
        <f aca="false">D65+D72+D74</f>
        <v>6045499.10516714</v>
      </c>
      <c r="E75" s="63" t="n">
        <f aca="false">E65+E72+E74</f>
        <v>499897.534746025</v>
      </c>
      <c r="F75" s="63" t="n">
        <f aca="false">F65+F72+F74</f>
        <v>7854490.3534211</v>
      </c>
      <c r="G75" s="63" t="n">
        <f aca="false">G65+G72+G74</f>
        <v>307607.310535952</v>
      </c>
      <c r="H75" s="63" t="n">
        <f aca="false">H65+H72+H74</f>
        <v>5027941.52802428</v>
      </c>
      <c r="I75" s="63" t="n">
        <f aca="false">I65+I72+I74</f>
        <v>284532.483630744</v>
      </c>
      <c r="J75" s="63" t="n">
        <f aca="false">J65+J72+J74</f>
        <v>4688755.66897666</v>
      </c>
      <c r="K75" s="63" t="n">
        <f aca="false">K65+K72+K74</f>
        <v>376831.791251579</v>
      </c>
      <c r="L75" s="63" t="n">
        <f aca="false">L65+L72+L74</f>
        <v>6045499.10516714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113049.537375474</v>
      </c>
      <c r="P75" s="63" t="n">
        <f aca="false">P65+P72+P74</f>
        <v>1813649.73155014</v>
      </c>
      <c r="Q75" s="63" t="n">
        <f aca="false">Q65+Q72+Q74</f>
        <v>1130495.37375474</v>
      </c>
      <c r="R75" s="63" t="n">
        <f aca="false">R65+R72+R74</f>
        <v>18136497.3155014</v>
      </c>
      <c r="S75" s="63" t="n">
        <f aca="false">S65+S72+S74</f>
        <v>456928.947922374</v>
      </c>
      <c r="T75" s="63" t="n">
        <f aca="false">T65+T72+T74</f>
        <v>7433837.53549471</v>
      </c>
      <c r="U75" s="63" t="n">
        <f aca="false">U65+U72+U74</f>
        <v>356596.720092641</v>
      </c>
      <c r="V75" s="63" t="n">
        <f aca="false">V65+V72+V74</f>
        <v>5694760.97540017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376831.791251579</v>
      </c>
      <c r="Z75" s="63" t="n">
        <f aca="false">Z65+Z72+Z74</f>
        <v>6045499.10516714</v>
      </c>
      <c r="AA75" s="63" t="n">
        <f aca="false">AA65+AA72+AA74</f>
        <v>376831.791251579</v>
      </c>
      <c r="AB75" s="63" t="n">
        <f aca="false">AB65+AB72+AB74</f>
        <v>6045499.10516714</v>
      </c>
      <c r="AC75" s="63" t="n">
        <f aca="false">AC65+AC72+AC74</f>
        <v>376831.791251579</v>
      </c>
      <c r="AD75" s="63" t="n">
        <f aca="false">AD65+AD72+AD74</f>
        <v>6045499.10516714</v>
      </c>
      <c r="AE75" s="63" t="n">
        <f aca="false">AE65+AE72+AE74</f>
        <v>376831.791251579</v>
      </c>
      <c r="AF75" s="63" t="n">
        <f aca="false">AF65+AF72+AF74</f>
        <v>6045499.10516714</v>
      </c>
      <c r="AG75" s="63" t="n">
        <f aca="false">AG65+AG72+AG74</f>
        <v>399906.618156787</v>
      </c>
      <c r="AH75" s="63" t="n">
        <f aca="false">AH65+AH72+AH74</f>
        <v>6384684.96421476</v>
      </c>
    </row>
    <row r="76" customFormat="false" ht="15" hidden="false" customHeight="false" outlineLevel="0" collapsed="false">
      <c r="A76" s="54" t="s">
        <v>1022</v>
      </c>
      <c r="B76" s="54" t="s">
        <v>280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1023</v>
      </c>
      <c r="B77" s="54" t="s">
        <v>79</v>
      </c>
      <c r="C77" s="94" t="n">
        <f aca="false">C76/(C75*3600*C12*1000000000000000)</f>
        <v>0.0731801304364245</v>
      </c>
      <c r="D77" s="94" t="n">
        <f aca="false">D76/(D75*3600*D12*1000000000000000)</f>
        <v>0.0679835504547044</v>
      </c>
      <c r="E77" s="94" t="n">
        <f aca="false">E76/(E75*3600*E12*1000000000000000)</f>
        <v>0.0551645041626229</v>
      </c>
      <c r="F77" s="94" t="n">
        <f aca="false">F76/(F75*3600*F12*1000000000000000)</f>
        <v>0.0523260548994102</v>
      </c>
      <c r="G77" s="94" t="n">
        <f aca="false">G76/(G75*3600*G12*1000000000000000)</f>
        <v>0.0896487134468116</v>
      </c>
      <c r="H77" s="94" t="n">
        <f aca="false">H76/(H75*3600*H12*1000000000000000)</f>
        <v>0.0817420988587947</v>
      </c>
      <c r="I77" s="94" t="n">
        <f aca="false">I76/(I75*3600*I12*1000000000000000)</f>
        <v>0.0484594927167788</v>
      </c>
      <c r="J77" s="94" t="n">
        <f aca="false">J76/(J75*3600*J12*1000000000000000)</f>
        <v>0.0438276722499491</v>
      </c>
      <c r="K77" s="94" t="n">
        <f aca="false">K76/(K75*3600*K12*1000000000000000)</f>
        <v>0.0731801304364245</v>
      </c>
      <c r="L77" s="94" t="n">
        <f aca="false">L76/(L75*3600*L12*1000000000000000)</f>
        <v>0.0679835504547044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0.0731801304364245</v>
      </c>
      <c r="P77" s="94" t="n">
        <f aca="false">P76/(P75*3600*P12*1000000000000000)</f>
        <v>0.0679835504547044</v>
      </c>
      <c r="Q77" s="94" t="n">
        <f aca="false">Q76/(Q75*3600*Q12*1000000000000000)</f>
        <v>0.0731801304364245</v>
      </c>
      <c r="R77" s="94" t="n">
        <f aca="false">R76/(R75*3600*R12*1000000000000000)</f>
        <v>0.0679835504547043</v>
      </c>
      <c r="S77" s="94" t="n">
        <f aca="false">S76/(S75*3600*S12*1000000000000000)</f>
        <v>0.0603520520242173</v>
      </c>
      <c r="T77" s="94" t="n">
        <f aca="false">T76/(T75*3600*T12*1000000000000000)</f>
        <v>0.0552869889175818</v>
      </c>
      <c r="U77" s="94" t="n">
        <f aca="false">U76/(U75*3600*U12*1000000000000000)</f>
        <v>0.0773327349427606</v>
      </c>
      <c r="V77" s="94" t="n">
        <f aca="false">V76/(V75*3600*V12*1000000000000000)</f>
        <v>0.0721706310792297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0.0731801304364245</v>
      </c>
      <c r="Z77" s="94" t="n">
        <f aca="false">Z76/(Z75*3600*Z12*1000000000000000)</f>
        <v>0.0679835504547044</v>
      </c>
      <c r="AA77" s="94" t="n">
        <f aca="false">AA76/(AA75*3600*AA12*1000000000000000)</f>
        <v>0.0731801304364245</v>
      </c>
      <c r="AB77" s="94" t="n">
        <f aca="false">AB76/(AB75*3600*AB12*1000000000000000)</f>
        <v>0.0679835504547044</v>
      </c>
      <c r="AC77" s="94" t="n">
        <f aca="false">AC76/(AC75*3600*AC12*1000000000000000)</f>
        <v>0.0731801304364245</v>
      </c>
      <c r="AD77" s="94" t="n">
        <f aca="false">AD76/(AD75*3600*AD12*1000000000000000)</f>
        <v>0.0679835504547044</v>
      </c>
      <c r="AE77" s="94" t="n">
        <f aca="false">AE76/(AE75*3600*AE12*1000000000000000)</f>
        <v>0.0731801304364245</v>
      </c>
      <c r="AF77" s="94" t="n">
        <f aca="false">AF76/(AF75*3600*AF12*1000000000000000)</f>
        <v>0.0679835504547044</v>
      </c>
      <c r="AG77" s="94" t="n">
        <f aca="false">AG76/(AG75*3600*AG12*1000000000000000)</f>
        <v>0.0689575975598642</v>
      </c>
      <c r="AH77" s="94" t="n">
        <f aca="false">AH76/(AH75*3600*AH12*1000000000000000)</f>
        <v>0.0643719299767436</v>
      </c>
    </row>
    <row r="78" customFormat="false" ht="15" hidden="false" customHeight="false" outlineLevel="0" collapsed="false">
      <c r="A78" s="54" t="s">
        <v>1024</v>
      </c>
      <c r="B78" s="54" t="s">
        <v>83</v>
      </c>
      <c r="C78" s="97" t="n">
        <f aca="false">C75/C36</f>
        <v>0.371397626434424</v>
      </c>
      <c r="D78" s="97" t="n">
        <f aca="false">D75/D36</f>
        <v>1.12717162997901</v>
      </c>
      <c r="E78" s="97" t="n">
        <f aca="false">E75/E36</f>
        <v>0.29561320808171</v>
      </c>
      <c r="F78" s="97" t="n">
        <f aca="false">F75/F36</f>
        <v>0.878672732256604</v>
      </c>
      <c r="G78" s="97" t="n">
        <f aca="false">G75/G36</f>
        <v>0.485074253963496</v>
      </c>
      <c r="H78" s="97" t="n">
        <f aca="false">H75/H36</f>
        <v>1.49991997656263</v>
      </c>
      <c r="I78" s="97" t="n">
        <f aca="false">I75/I36</f>
        <v>0.560858672316211</v>
      </c>
      <c r="J78" s="97" t="n">
        <f aca="false">J75/J36</f>
        <v>1.74841887428504</v>
      </c>
      <c r="K78" s="97" t="n">
        <f aca="false">K75/K36</f>
        <v>0.742795252868848</v>
      </c>
      <c r="L78" s="97" t="n">
        <f aca="false">L75/L36</f>
        <v>2.25434325995803</v>
      </c>
      <c r="M78" s="97" t="n">
        <f aca="false">M75/M36</f>
        <v>0.222393788284086</v>
      </c>
      <c r="N78" s="97" t="n">
        <f aca="false">N75/N36</f>
        <v>0.674953071843721</v>
      </c>
      <c r="O78" s="97" t="n">
        <f aca="false">O75/O36</f>
        <v>0.111419287930327</v>
      </c>
      <c r="P78" s="97" t="n">
        <f aca="false">P75/P36</f>
        <v>0.338151488993704</v>
      </c>
      <c r="Q78" s="97" t="n">
        <f aca="false">Q75/Q36</f>
        <v>1.11419287930327</v>
      </c>
      <c r="R78" s="97" t="n">
        <f aca="false">R75/R36</f>
        <v>3.38151488993704</v>
      </c>
      <c r="S78" s="97" t="n">
        <f aca="false">S75/S36</f>
        <v>0.450339728885169</v>
      </c>
      <c r="T78" s="97" t="n">
        <f aca="false">T75/T36</f>
        <v>1.38602464843986</v>
      </c>
      <c r="U78" s="97" t="n">
        <f aca="false">U75/U36</f>
        <v>0.351454358446868</v>
      </c>
      <c r="V78" s="97" t="n">
        <f aca="false">V75/V36</f>
        <v>1.06177718320996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0.371397626434424</v>
      </c>
      <c r="Z78" s="97" t="n">
        <f aca="false">Z75/Z36</f>
        <v>1.12717162997901</v>
      </c>
      <c r="AA78" s="97" t="n">
        <f aca="false">AA75/AA36</f>
        <v>0.371397626434424</v>
      </c>
      <c r="AB78" s="97" t="n">
        <f aca="false">AB75/AB36</f>
        <v>1.12717162997901</v>
      </c>
      <c r="AC78" s="97" t="n">
        <f aca="false">AC75/AC36</f>
        <v>0.371397626434424</v>
      </c>
      <c r="AD78" s="97" t="n">
        <f aca="false">AD75/AD36</f>
        <v>1.12717162997901</v>
      </c>
      <c r="AE78" s="97" t="n">
        <f aca="false">AE75/AE36</f>
        <v>0.371397626434424</v>
      </c>
      <c r="AF78" s="97" t="n">
        <f aca="false">AF75/AF36</f>
        <v>1.12717162997901</v>
      </c>
      <c r="AG78" s="97" t="n">
        <f aca="false">AG75/AG36</f>
        <v>0.350346399114226</v>
      </c>
      <c r="AH78" s="97" t="n">
        <f aca="false">AH75/AH36</f>
        <v>1.05814415838946</v>
      </c>
    </row>
    <row r="79" customFormat="false" ht="15" hidden="false" customHeight="false" outlineLevel="0" collapsed="false">
      <c r="A79" s="54" t="s">
        <v>1025</v>
      </c>
      <c r="B79" s="54" t="s">
        <v>83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1026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1027</v>
      </c>
      <c r="B81" s="54" t="s">
        <v>920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1028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1029</v>
      </c>
      <c r="B83" s="54" t="s">
        <v>920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1030</v>
      </c>
      <c r="B84" s="54" t="s">
        <v>770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1031</v>
      </c>
      <c r="B85" s="54" t="s">
        <v>460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1032</v>
      </c>
      <c r="B86" s="54" t="s">
        <v>988</v>
      </c>
      <c r="C86" s="60" t="n">
        <f aca="false">C81*1000000*C59/3600/C64</f>
        <v>16265.3626052943</v>
      </c>
      <c r="D86" s="60" t="n">
        <f aca="false">D81*1000000*D59/3600/D64</f>
        <v>69339.0610047075</v>
      </c>
      <c r="E86" s="60" t="n">
        <f aca="false">E81*1000000*E59/3600/E64</f>
        <v>16265.3626052943</v>
      </c>
      <c r="F86" s="60" t="n">
        <f aca="false">F81*1000000*F59/3600/F64</f>
        <v>69339.0610047075</v>
      </c>
      <c r="G86" s="60" t="n">
        <f aca="false">G81*1000000*G59/3600/G64</f>
        <v>16265.3626052943</v>
      </c>
      <c r="H86" s="60" t="n">
        <f aca="false">H81*1000000*H59/3600/H64</f>
        <v>69339.0610047075</v>
      </c>
      <c r="I86" s="60" t="n">
        <f aca="false">I81*1000000*I59/3600/I64</f>
        <v>16265.3626052943</v>
      </c>
      <c r="J86" s="60" t="n">
        <f aca="false">J81*1000000*J59/3600/J64</f>
        <v>69339.0610047075</v>
      </c>
      <c r="K86" s="60" t="n">
        <f aca="false">K81*1000000*K59/3600/K64</f>
        <v>16265.3626052943</v>
      </c>
      <c r="L86" s="60" t="n">
        <f aca="false">L81*1000000*L59/3600/L64</f>
        <v>69339.0610047075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16265.3626052943</v>
      </c>
      <c r="P86" s="60" t="n">
        <f aca="false">P81*1000000*P59/3600/P64</f>
        <v>69339.0610047075</v>
      </c>
      <c r="Q86" s="60" t="n">
        <f aca="false">Q81*1000000*Q59/3600/Q64</f>
        <v>16265.3626052943</v>
      </c>
      <c r="R86" s="60" t="n">
        <f aca="false">R81*1000000*R59/3600/R64</f>
        <v>69339.0610047075</v>
      </c>
      <c r="S86" s="60" t="n">
        <f aca="false">S81*1000000*S59/3600/S64</f>
        <v>23042.5970241669</v>
      </c>
      <c r="T86" s="60" t="n">
        <f aca="false">T81*1000000*T59/3600/T64</f>
        <v>98230.3364233356</v>
      </c>
      <c r="U86" s="60" t="n">
        <f aca="false">U81*1000000*U59/3600/U64</f>
        <v>14553.2191731581</v>
      </c>
      <c r="V86" s="60" t="n">
        <f aca="false">V81*1000000*V59/3600/V64</f>
        <v>62040.2124778962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16265.3626052943</v>
      </c>
      <c r="Z86" s="60" t="n">
        <f aca="false">Z81*1000000*Z59/3600/Z64</f>
        <v>69339.0610047075</v>
      </c>
      <c r="AA86" s="60" t="n">
        <f aca="false">AA81*1000000*AA59/3600/AA64</f>
        <v>16265.3626052943</v>
      </c>
      <c r="AB86" s="60" t="n">
        <f aca="false">AB81*1000000*AB59/3600/AB64</f>
        <v>69339.0610047075</v>
      </c>
      <c r="AC86" s="60" t="n">
        <f aca="false">AC81*1000000*AC59/3600/AC64</f>
        <v>16265.3626052943</v>
      </c>
      <c r="AD86" s="60" t="n">
        <f aca="false">AD81*1000000*AD59/3600/AD64</f>
        <v>69339.0610047075</v>
      </c>
      <c r="AE86" s="60" t="n">
        <f aca="false">AE81*1000000*AE59/3600/AE64</f>
        <v>16265.3626052943</v>
      </c>
      <c r="AF86" s="60" t="n">
        <f aca="false">AF81*1000000*AF59/3600/AF64</f>
        <v>69339.0610047075</v>
      </c>
      <c r="AG86" s="60" t="n">
        <f aca="false">AG81*1000000*AG59/3600/AG64</f>
        <v>16265.3626052943</v>
      </c>
      <c r="AH86" s="60" t="n">
        <f aca="false">AH81*1000000*AH59/3600/AH64</f>
        <v>69339.0610047075</v>
      </c>
    </row>
    <row r="87" customFormat="false" ht="15" hidden="false" customHeight="false" outlineLevel="0" collapsed="false">
      <c r="A87" s="53" t="s">
        <v>1033</v>
      </c>
      <c r="B87" s="54" t="s">
        <v>988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1034</v>
      </c>
      <c r="B88" s="54" t="s">
        <v>280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1035</v>
      </c>
      <c r="B89" s="54" t="s">
        <v>988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1036</v>
      </c>
      <c r="B90" s="54" t="s">
        <v>988</v>
      </c>
      <c r="C90" s="60" t="n">
        <f aca="false">C86+C87+C89</f>
        <v>32953.1612284354</v>
      </c>
      <c r="D90" s="60" t="n">
        <f aca="false">D86+D87+D89</f>
        <v>129046.746388834</v>
      </c>
      <c r="E90" s="60" t="n">
        <f aca="false">E86+E87+E89</f>
        <v>43382.4615245749</v>
      </c>
      <c r="F90" s="60" t="n">
        <f aca="false">F86+F87+F89</f>
        <v>166734.064060792</v>
      </c>
      <c r="G90" s="60" t="n">
        <f aca="false">G86+G87+G89</f>
        <v>27086.6798118569</v>
      </c>
      <c r="H90" s="60" t="n">
        <f aca="false">H86+H87+H89</f>
        <v>107847.630198358</v>
      </c>
      <c r="I90" s="60" t="n">
        <f aca="false">I86+I87+I89</f>
        <v>25131.1860063307</v>
      </c>
      <c r="J90" s="60" t="n">
        <f aca="false">J86+J87+J89</f>
        <v>100781.258134866</v>
      </c>
      <c r="K90" s="60" t="n">
        <f aca="false">K86+K87+K89</f>
        <v>32953.1612284354</v>
      </c>
      <c r="L90" s="60" t="n">
        <f aca="false">L86+L87+L89</f>
        <v>129046.746388834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32953.1612284354</v>
      </c>
      <c r="P90" s="60" t="n">
        <f aca="false">P86+P87+P89</f>
        <v>129046.746388834</v>
      </c>
      <c r="Q90" s="60" t="n">
        <f aca="false">Q86+Q87+Q89</f>
        <v>32953.1612284354</v>
      </c>
      <c r="R90" s="60" t="n">
        <f aca="false">R86+R87+R89</f>
        <v>129046.746388834</v>
      </c>
      <c r="S90" s="60" t="n">
        <f aca="false">S86+S87+S89</f>
        <v>39730.395647308</v>
      </c>
      <c r="T90" s="60" t="n">
        <f aca="false">T86+T87+T89</f>
        <v>157938.021807463</v>
      </c>
      <c r="U90" s="60" t="n">
        <f aca="false">U86+U87+U89</f>
        <v>31241.0177962992</v>
      </c>
      <c r="V90" s="60" t="n">
        <f aca="false">V86+V87+V89</f>
        <v>121747.897862023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32953.1612284354</v>
      </c>
      <c r="Z90" s="60" t="n">
        <f aca="false">Z86+Z87+Z89</f>
        <v>129046.746388834</v>
      </c>
      <c r="AA90" s="60" t="n">
        <f aca="false">AA86+AA87+AA89</f>
        <v>32953.1612284354</v>
      </c>
      <c r="AB90" s="60" t="n">
        <f aca="false">AB86+AB87+AB89</f>
        <v>129046.746388834</v>
      </c>
      <c r="AC90" s="60" t="n">
        <f aca="false">AC86+AC87+AC89</f>
        <v>32953.1612284354</v>
      </c>
      <c r="AD90" s="60" t="n">
        <f aca="false">AD86+AD87+AD89</f>
        <v>129046.746388834</v>
      </c>
      <c r="AE90" s="60" t="n">
        <f aca="false">AE86+AE87+AE89</f>
        <v>32953.1612284354</v>
      </c>
      <c r="AF90" s="60" t="n">
        <f aca="false">AF86+AF87+AF89</f>
        <v>129046.746388834</v>
      </c>
      <c r="AG90" s="60" t="n">
        <f aca="false">AG86+AG87+AG89</f>
        <v>34908.6550339616</v>
      </c>
      <c r="AH90" s="60" t="n">
        <f aca="false">AH86+AH87+AH89</f>
        <v>136113.118452327</v>
      </c>
    </row>
    <row r="91" customFormat="false" ht="15" hidden="false" customHeight="false" outlineLevel="0" collapsed="false">
      <c r="A91" s="53" t="s">
        <v>1037</v>
      </c>
      <c r="B91" s="54" t="s">
        <v>280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1038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1039</v>
      </c>
      <c r="B93" s="54" t="s">
        <v>920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1040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1041</v>
      </c>
      <c r="B95" s="54" t="s">
        <v>770</v>
      </c>
      <c r="C95" s="91" t="n">
        <f aca="false">INDEX(Perf_Batch!$C$103:$Q$103,3*(C$6-1)+C94)</f>
        <v>1060.88763337202</v>
      </c>
      <c r="D95" s="91" t="n">
        <f aca="false">INDEX(Perf_Batch!$C$103:$Q$103,3*(D$6-1)+D94)</f>
        <v>1060.88763337202</v>
      </c>
      <c r="E95" s="91" t="n">
        <f aca="false">INDEX(Perf_Batch!$C$103:$Q$103,3*(E$6-1)+E94)</f>
        <v>1060.88763337202</v>
      </c>
      <c r="F95" s="91" t="n">
        <f aca="false">INDEX(Perf_Batch!$C$103:$Q$103,3*(F$6-1)+F94)</f>
        <v>1060.88763337202</v>
      </c>
      <c r="G95" s="91" t="n">
        <f aca="false">INDEX(Perf_Batch!$C$103:$Q$103,3*(G$6-1)+G94)</f>
        <v>1060.88763337202</v>
      </c>
      <c r="H95" s="91" t="n">
        <f aca="false">INDEX(Perf_Batch!$C$103:$Q$103,3*(H$6-1)+H94)</f>
        <v>1060.88763337202</v>
      </c>
      <c r="I95" s="91" t="n">
        <f aca="false">INDEX(Perf_Batch!$C$103:$Q$103,3*(I$6-1)+I94)</f>
        <v>1060.88763337202</v>
      </c>
      <c r="J95" s="91" t="n">
        <f aca="false">INDEX(Perf_Batch!$C$103:$Q$103,3*(J$6-1)+J94)</f>
        <v>1060.88763337202</v>
      </c>
      <c r="K95" s="91" t="n">
        <f aca="false">INDEX(Perf_Batch!$C$103:$Q$103,3*(K$6-1)+K94)</f>
        <v>1060.88763337202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1060.88763337202</v>
      </c>
      <c r="P95" s="91" t="n">
        <f aca="false">INDEX(Perf_Batch!$C$103:$Q$103,3*(P$6-1)+P94)</f>
        <v>1060.88763337202</v>
      </c>
      <c r="Q95" s="91" t="n">
        <f aca="false">INDEX(Perf_Batch!$C$103:$Q$103,3*(Q$6-1)+Q94)</f>
        <v>1060.88763337202</v>
      </c>
      <c r="R95" s="91" t="n">
        <f aca="false">INDEX(Perf_Batch!$C$103:$Q$103,3*(R$6-1)+R94)</f>
        <v>1060.88763337202</v>
      </c>
      <c r="S95" s="91" t="n">
        <f aca="false">INDEX(Perf_Batch!$C$103:$Q$103,3*(S$6-1)+S94)</f>
        <v>1060.88763337202</v>
      </c>
      <c r="T95" s="91" t="n">
        <f aca="false">INDEX(Perf_Batch!$C$103:$Q$103,3*(T$6-1)+T94)</f>
        <v>1060.88763337202</v>
      </c>
      <c r="U95" s="91" t="n">
        <f aca="false">INDEX(Perf_Batch!$C$103:$Q$103,3*(U$6-1)+U94)</f>
        <v>1060.88763337202</v>
      </c>
      <c r="V95" s="91" t="n">
        <f aca="false">INDEX(Perf_Batch!$C$103:$Q$103,3*(V$6-1)+V94)</f>
        <v>1060.88763337202</v>
      </c>
      <c r="W95" s="91" t="n">
        <f aca="false">INDEX(Perf_Batch!$C$103:$Q$103,3*(W$6-1)+W94)</f>
        <v>1060.88763337202</v>
      </c>
      <c r="X95" s="91" t="n">
        <f aca="false">INDEX(Perf_Batch!$C$103:$Q$103,3*(X$6-1)+X94)</f>
        <v>1060.88763337202</v>
      </c>
      <c r="Y95" s="91" t="n">
        <f aca="false">INDEX(Perf_Batch!$C$103:$Q$103,3*(Y$6-1)+Y94)</f>
        <v>1060.88763337202</v>
      </c>
      <c r="Z95" s="91" t="n">
        <f aca="false">INDEX(Perf_Batch!$C$103:$Q$103,3*(Z$6-1)+Z94)</f>
        <v>1060.88763337202</v>
      </c>
      <c r="AA95" s="91" t="n">
        <f aca="false">INDEX(Perf_Batch!$C$103:$Q$103,3*(AA$6-1)+AA94)</f>
        <v>1060.88763337202</v>
      </c>
      <c r="AB95" s="91" t="n">
        <f aca="false">INDEX(Perf_Batch!$C$103:$Q$103,3*(AB$6-1)+AB94)</f>
        <v>1060.88763337202</v>
      </c>
      <c r="AC95" s="91" t="n">
        <f aca="false">INDEX(Perf_Batch!$C$103:$Q$103,3*(AC$6-1)+AC94)</f>
        <v>1060.88763337202</v>
      </c>
      <c r="AD95" s="91" t="n">
        <f aca="false">INDEX(Perf_Batch!$C$103:$Q$103,3*(AD$6-1)+AD94)</f>
        <v>1060.88763337202</v>
      </c>
      <c r="AE95" s="91" t="n">
        <f aca="false">INDEX(Perf_Batch!$C$103:$Q$103,3*(AE$6-1)+AE94)</f>
        <v>1060.88763337202</v>
      </c>
      <c r="AF95" s="91" t="n">
        <f aca="false">INDEX(Perf_Batch!$C$103:$Q$103,3*(AF$6-1)+AF94)</f>
        <v>1060.88763337202</v>
      </c>
      <c r="AG95" s="91" t="n">
        <f aca="false">INDEX(Perf_Batch!$C$103:$Q$103,3*(AG$6-1)+AG94)</f>
        <v>1060.88763337202</v>
      </c>
      <c r="AH95" s="91" t="n">
        <f aca="false">INDEX(Perf_Batch!$C$103:$Q$103,3*(AH$6-1)+AH94)</f>
        <v>1060.88763337202</v>
      </c>
    </row>
    <row r="96" customFormat="false" ht="15" hidden="false" customHeight="false" outlineLevel="0" collapsed="false">
      <c r="A96" s="53" t="s">
        <v>1042</v>
      </c>
      <c r="B96" s="54" t="s">
        <v>460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1043</v>
      </c>
      <c r="B97" s="54" t="s">
        <v>988</v>
      </c>
      <c r="C97" s="60" t="n">
        <f aca="false">C93*1000000*C95/3600</f>
        <v>589382.018540014</v>
      </c>
      <c r="D97" s="60" t="n">
        <f aca="false">D93*1000000*D95/3600</f>
        <v>884073.027810021</v>
      </c>
      <c r="E97" s="60" t="n">
        <f aca="false">E93*1000000*E95/3600</f>
        <v>589382.018540014</v>
      </c>
      <c r="F97" s="60" t="n">
        <f aca="false">F93*1000000*F95/3600</f>
        <v>884073.027810021</v>
      </c>
      <c r="G97" s="60" t="n">
        <f aca="false">G93*1000000*G95/3600</f>
        <v>589382.018540014</v>
      </c>
      <c r="H97" s="60" t="n">
        <f aca="false">H93*1000000*H95/3600</f>
        <v>884073.027810021</v>
      </c>
      <c r="I97" s="60" t="n">
        <f aca="false">I93*1000000*I95/3600</f>
        <v>589382.018540014</v>
      </c>
      <c r="J97" s="60" t="n">
        <f aca="false">J93*1000000*J95/3600</f>
        <v>884073.027810021</v>
      </c>
      <c r="K97" s="60" t="n">
        <f aca="false">K93*1000000*K95/3600</f>
        <v>589382.018540014</v>
      </c>
      <c r="L97" s="60" t="n">
        <f aca="false">L93*1000000*L95/3600</f>
        <v>884073.027810021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589382.018540014</v>
      </c>
      <c r="P97" s="60" t="n">
        <f aca="false">P93*1000000*P95/3600</f>
        <v>884073.027810021</v>
      </c>
      <c r="Q97" s="60" t="n">
        <f aca="false">Q93*1000000*Q95/3600</f>
        <v>589382.018540014</v>
      </c>
      <c r="R97" s="60" t="n">
        <f aca="false">R93*1000000*R95/3600</f>
        <v>884073.027810021</v>
      </c>
      <c r="S97" s="60" t="n">
        <f aca="false">S93*1000000*S95/3600</f>
        <v>589382.018540014</v>
      </c>
      <c r="T97" s="60" t="n">
        <f aca="false">T93*1000000*T95/3600</f>
        <v>884073.027810021</v>
      </c>
      <c r="U97" s="60" t="n">
        <f aca="false">U93*1000000*U95/3600</f>
        <v>589382.018540014</v>
      </c>
      <c r="V97" s="60" t="n">
        <f aca="false">V93*1000000*V95/3600</f>
        <v>884073.027810021</v>
      </c>
      <c r="W97" s="60" t="n">
        <f aca="false">W93*1000000*W95/3600</f>
        <v>589382.018540014</v>
      </c>
      <c r="X97" s="60" t="n">
        <f aca="false">X93*1000000*X95/3600</f>
        <v>884073.027810021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1768146.05562004</v>
      </c>
      <c r="AB97" s="60" t="n">
        <f aca="false">AB93*1000000*AB95/3600</f>
        <v>2652219.08343006</v>
      </c>
      <c r="AC97" s="60" t="n">
        <f aca="false">AC93*1000000*AC95/3600</f>
        <v>589382.018540014</v>
      </c>
      <c r="AD97" s="60" t="n">
        <f aca="false">AD93*1000000*AD95/3600</f>
        <v>884073.027810021</v>
      </c>
      <c r="AE97" s="60" t="n">
        <f aca="false">AE93*1000000*AE95/3600</f>
        <v>589382.018540014</v>
      </c>
      <c r="AF97" s="60" t="n">
        <f aca="false">AF93*1000000*AF95/3600</f>
        <v>884073.027810021</v>
      </c>
      <c r="AG97" s="60" t="n">
        <f aca="false">AG93*1000000*AG95/3600</f>
        <v>589382.018540014</v>
      </c>
      <c r="AH97" s="60" t="n">
        <f aca="false">AH93*1000000*AH95/3600</f>
        <v>884073.027810021</v>
      </c>
    </row>
    <row r="98" customFormat="false" ht="15" hidden="false" customHeight="false" outlineLevel="0" collapsed="false">
      <c r="A98" s="53" t="s">
        <v>1044</v>
      </c>
      <c r="B98" s="54" t="s">
        <v>280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943</v>
      </c>
      <c r="B99" s="54" t="s">
        <v>920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1045</v>
      </c>
      <c r="B100" s="54" t="s">
        <v>988</v>
      </c>
      <c r="C100" s="60" t="n">
        <f aca="false">C99*1000000*C59/3600</f>
        <v>3456.38955362504</v>
      </c>
      <c r="D100" s="60" t="n">
        <f aca="false">D99*1000000*D59/3600</f>
        <v>29469.1009270007</v>
      </c>
      <c r="E100" s="60" t="n">
        <f aca="false">E99*1000000*E59/3600</f>
        <v>3456.38955362504</v>
      </c>
      <c r="F100" s="60" t="n">
        <f aca="false">F99*1000000*F59/3600</f>
        <v>29469.1009270007</v>
      </c>
      <c r="G100" s="60" t="n">
        <f aca="false">G99*1000000*G59/3600</f>
        <v>3456.38955362504</v>
      </c>
      <c r="H100" s="60" t="n">
        <f aca="false">H99*1000000*H59/3600</f>
        <v>29469.1009270007</v>
      </c>
      <c r="I100" s="60" t="n">
        <f aca="false">I99*1000000*I59/3600</f>
        <v>3456.38955362504</v>
      </c>
      <c r="J100" s="60" t="n">
        <f aca="false">J99*1000000*J59/3600</f>
        <v>29469.1009270007</v>
      </c>
      <c r="K100" s="60" t="n">
        <f aca="false">K99*1000000*K59/3600</f>
        <v>3456.38955362504</v>
      </c>
      <c r="L100" s="60" t="n">
        <f aca="false">L99*1000000*L59/3600</f>
        <v>29469.1009270007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3456.38955362504</v>
      </c>
      <c r="P100" s="60" t="n">
        <f aca="false">P99*1000000*P59/3600</f>
        <v>29469.1009270007</v>
      </c>
      <c r="Q100" s="60" t="n">
        <f aca="false">Q99*1000000*Q59/3600</f>
        <v>3456.38955362504</v>
      </c>
      <c r="R100" s="60" t="n">
        <f aca="false">R99*1000000*R59/3600</f>
        <v>29469.1009270007</v>
      </c>
      <c r="S100" s="60" t="n">
        <f aca="false">S99*1000000*S59/3600</f>
        <v>3456.38955362504</v>
      </c>
      <c r="T100" s="60" t="n">
        <f aca="false">T99*1000000*T59/3600</f>
        <v>29469.1009270007</v>
      </c>
      <c r="U100" s="60" t="n">
        <f aca="false">U99*1000000*U59/3600</f>
        <v>3456.38955362504</v>
      </c>
      <c r="V100" s="60" t="n">
        <f aca="false">V99*1000000*V59/3600</f>
        <v>29469.1009270007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3456.38955362504</v>
      </c>
      <c r="Z100" s="60" t="n">
        <f aca="false">Z99*1000000*Z59/3600</f>
        <v>29469.1009270007</v>
      </c>
      <c r="AA100" s="60" t="n">
        <f aca="false">AA99*1000000*AA59/3600</f>
        <v>3456.38955362504</v>
      </c>
      <c r="AB100" s="60" t="n">
        <f aca="false">AB99*1000000*AB59/3600</f>
        <v>29469.1009270007</v>
      </c>
      <c r="AC100" s="60" t="n">
        <f aca="false">AC99*1000000*AC59/3600</f>
        <v>3456.38955362504</v>
      </c>
      <c r="AD100" s="60" t="n">
        <f aca="false">AD99*1000000*AD59/3600</f>
        <v>29469.1009270007</v>
      </c>
      <c r="AE100" s="60" t="n">
        <f aca="false">AE99*1000000*AE59/3600</f>
        <v>3456.38955362504</v>
      </c>
      <c r="AF100" s="60" t="n">
        <f aca="false">AF99*1000000*AF59/3600</f>
        <v>29469.1009270007</v>
      </c>
      <c r="AG100" s="60" t="n">
        <f aca="false">AG99*1000000*AG59/3600</f>
        <v>3456.38955362504</v>
      </c>
      <c r="AH100" s="60" t="n">
        <f aca="false">AH99*1000000*AH59/3600</f>
        <v>29469.1009270007</v>
      </c>
    </row>
    <row r="101" customFormat="false" ht="15" hidden="false" customHeight="false" outlineLevel="0" collapsed="false">
      <c r="A101" s="53" t="s">
        <v>1046</v>
      </c>
      <c r="B101" s="54" t="s">
        <v>280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1047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1048</v>
      </c>
      <c r="B103" s="54" t="s">
        <v>988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1049</v>
      </c>
      <c r="B104" s="54" t="s">
        <v>988</v>
      </c>
      <c r="C104" s="60" t="n">
        <f aca="false">C51+C75+C90</f>
        <v>411736.625794877</v>
      </c>
      <c r="D104" s="60" t="n">
        <f aca="false">D51+D75+D90</f>
        <v>6186311.43998631</v>
      </c>
      <c r="E104" s="60" t="n">
        <f aca="false">E51+E75+E90</f>
        <v>546532.785128705</v>
      </c>
      <c r="F104" s="60" t="n">
        <f aca="false">F51+F75+F90</f>
        <v>8040833.73153245</v>
      </c>
      <c r="G104" s="60" t="n">
        <f aca="false">G51+G75+G90</f>
        <v>335913.786169599</v>
      </c>
      <c r="H104" s="60" t="n">
        <f aca="false">H51+H75+H90</f>
        <v>5143142.6509916</v>
      </c>
      <c r="I104" s="60" t="n">
        <f aca="false">I51+I75+I90</f>
        <v>310639.506294506</v>
      </c>
      <c r="J104" s="60" t="n">
        <f aca="false">J51+J75+J90</f>
        <v>4795419.72132669</v>
      </c>
      <c r="K104" s="60" t="n">
        <f aca="false">K51+K75+K90</f>
        <v>411736.625794877</v>
      </c>
      <c r="L104" s="60" t="n">
        <f aca="false">L51+L75+L90</f>
        <v>6186311.43998631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147954.371918772</v>
      </c>
      <c r="P104" s="60" t="n">
        <f aca="false">P51+P75+P90</f>
        <v>1954462.06636931</v>
      </c>
      <c r="Q104" s="60" t="n">
        <f aca="false">Q51+Q75+Q90</f>
        <v>1165400.20829803</v>
      </c>
      <c r="R104" s="60" t="n">
        <f aca="false">R51+R75+R90</f>
        <v>18277309.6503206</v>
      </c>
      <c r="S104" s="60" t="n">
        <f aca="false">S51+S75+S90</f>
        <v>498611.016884545</v>
      </c>
      <c r="T104" s="60" t="n">
        <f aca="false">T51+T75+T90</f>
        <v>7603541.14573251</v>
      </c>
      <c r="U104" s="60" t="n">
        <f aca="false">U51+U75+U90</f>
        <v>389789.411203803</v>
      </c>
      <c r="V104" s="60" t="n">
        <f aca="false">V51+V75+V90</f>
        <v>5828274.46169253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411736.625794877</v>
      </c>
      <c r="Z104" s="60" t="n">
        <f aca="false">Z51+Z75+Z90</f>
        <v>6186311.43998631</v>
      </c>
      <c r="AA104" s="60" t="n">
        <f aca="false">AA51+AA75+AA90</f>
        <v>411736.625794877</v>
      </c>
      <c r="AB104" s="60" t="n">
        <f aca="false">AB51+AB75+AB90</f>
        <v>6186311.43998631</v>
      </c>
      <c r="AC104" s="60" t="n">
        <f aca="false">AC51+AC75+AC90</f>
        <v>411736.625794877</v>
      </c>
      <c r="AD104" s="60" t="n">
        <f aca="false">AD51+AD75+AD90</f>
        <v>6186311.43998631</v>
      </c>
      <c r="AE104" s="60" t="n">
        <f aca="false">AE51+AE75+AE90</f>
        <v>411736.625794877</v>
      </c>
      <c r="AF104" s="60" t="n">
        <f aca="false">AF51+AF75+AF90</f>
        <v>6186311.43998631</v>
      </c>
      <c r="AG104" s="60" t="n">
        <f aca="false">AG51+AG75+AG90</f>
        <v>437010.90566997</v>
      </c>
      <c r="AH104" s="60" t="n">
        <f aca="false">AH51+AH75+AH90</f>
        <v>6534034.36965121</v>
      </c>
    </row>
    <row r="105" customFormat="false" ht="15" hidden="false" customHeight="false" outlineLevel="0" collapsed="false">
      <c r="A105" s="53" t="s">
        <v>1050</v>
      </c>
      <c r="B105" s="54" t="s">
        <v>988</v>
      </c>
      <c r="C105" s="60" t="n">
        <f aca="false">C97+C100</f>
        <v>592838.408093639</v>
      </c>
      <c r="D105" s="60" t="n">
        <f aca="false">D97+D100</f>
        <v>913542.128737021</v>
      </c>
      <c r="E105" s="60" t="n">
        <f aca="false">E97+E100</f>
        <v>592838.408093639</v>
      </c>
      <c r="F105" s="60" t="n">
        <f aca="false">F97+F100</f>
        <v>913542.128737021</v>
      </c>
      <c r="G105" s="60" t="n">
        <f aca="false">G97+G100</f>
        <v>592838.408093639</v>
      </c>
      <c r="H105" s="60" t="n">
        <f aca="false">H97+H100</f>
        <v>913542.128737021</v>
      </c>
      <c r="I105" s="60" t="n">
        <f aca="false">I97+I100</f>
        <v>592838.408093639</v>
      </c>
      <c r="J105" s="60" t="n">
        <f aca="false">J97+J100</f>
        <v>913542.128737021</v>
      </c>
      <c r="K105" s="60" t="n">
        <f aca="false">K97+K100</f>
        <v>592838.408093639</v>
      </c>
      <c r="L105" s="60" t="n">
        <f aca="false">L97+L100</f>
        <v>913542.128737021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592838.408093639</v>
      </c>
      <c r="P105" s="60" t="n">
        <f aca="false">P97+P100</f>
        <v>913542.128737021</v>
      </c>
      <c r="Q105" s="60" t="n">
        <f aca="false">Q97+Q100</f>
        <v>592838.408093639</v>
      </c>
      <c r="R105" s="60" t="n">
        <f aca="false">R97+R100</f>
        <v>913542.128737021</v>
      </c>
      <c r="S105" s="60" t="n">
        <f aca="false">S97+S100</f>
        <v>592838.408093639</v>
      </c>
      <c r="T105" s="60" t="n">
        <f aca="false">T97+T100</f>
        <v>913542.128737021</v>
      </c>
      <c r="U105" s="60" t="n">
        <f aca="false">U97+U100</f>
        <v>592838.408093639</v>
      </c>
      <c r="V105" s="60" t="n">
        <f aca="false">V97+V100</f>
        <v>913542.128737021</v>
      </c>
      <c r="W105" s="60" t="n">
        <f aca="false">W97+W100</f>
        <v>594611.578217</v>
      </c>
      <c r="X105" s="60" t="n">
        <f aca="false">X97+X100</f>
        <v>928896.82443303</v>
      </c>
      <c r="Y105" s="60" t="n">
        <f aca="false">Y97+Y100</f>
        <v>3456.38955362504</v>
      </c>
      <c r="Z105" s="60" t="n">
        <f aca="false">Z97+Z100</f>
        <v>29469.1009270007</v>
      </c>
      <c r="AA105" s="60" t="n">
        <f aca="false">AA97+AA100</f>
        <v>1771602.44517367</v>
      </c>
      <c r="AB105" s="60" t="n">
        <f aca="false">AB97+AB100</f>
        <v>2681688.18435706</v>
      </c>
      <c r="AC105" s="60" t="n">
        <f aca="false">AC97+AC100</f>
        <v>592838.408093639</v>
      </c>
      <c r="AD105" s="60" t="n">
        <f aca="false">AD97+AD100</f>
        <v>913542.128737021</v>
      </c>
      <c r="AE105" s="60" t="n">
        <f aca="false">AE97+AE100</f>
        <v>592838.408093639</v>
      </c>
      <c r="AF105" s="60" t="n">
        <f aca="false">AF97+AF100</f>
        <v>913542.128737021</v>
      </c>
      <c r="AG105" s="60" t="n">
        <f aca="false">AG97+AG100</f>
        <v>592838.408093639</v>
      </c>
      <c r="AH105" s="60" t="n">
        <f aca="false">AH97+AH100</f>
        <v>913542.128737021</v>
      </c>
    </row>
    <row r="106" customFormat="false" ht="15" hidden="false" customHeight="false" outlineLevel="0" collapsed="false">
      <c r="A106" s="53" t="s">
        <v>1051</v>
      </c>
      <c r="B106" s="54" t="s">
        <v>988</v>
      </c>
      <c r="C106" s="63" t="n">
        <f aca="false">C103+C104+C105</f>
        <v>2051289.25958755</v>
      </c>
      <c r="D106" s="63" t="n">
        <f aca="false">D103+D104+D105</f>
        <v>12784087.465584</v>
      </c>
      <c r="E106" s="63" t="n">
        <f aca="false">E103+E104+E105</f>
        <v>2883894.90272074</v>
      </c>
      <c r="F106" s="63" t="n">
        <f aca="false">F103+F104+F105</f>
        <v>18428099.0217039</v>
      </c>
      <c r="G106" s="63" t="n">
        <f aca="false">G103+G104+G105</f>
        <v>1582948.58532514</v>
      </c>
      <c r="H106" s="63" t="n">
        <f aca="false">H103+H104+H105</f>
        <v>9609330.96526654</v>
      </c>
      <c r="I106" s="63" t="n">
        <f aca="false">I103+I104+I105</f>
        <v>1426835.02723766</v>
      </c>
      <c r="J106" s="63" t="n">
        <f aca="false">J103+J104+J105</f>
        <v>8551078.79849405</v>
      </c>
      <c r="K106" s="63" t="n">
        <f aca="false">K103+K104+K105</f>
        <v>1543973.42821119</v>
      </c>
      <c r="L106" s="63" t="n">
        <f aca="false">L103+L104+L105</f>
        <v>10102375.5841025</v>
      </c>
      <c r="M106" s="63" t="n">
        <f aca="false">M103+M104+M105</f>
        <v>2731092.47363188</v>
      </c>
      <c r="N106" s="63" t="n">
        <f aca="false">N103+N104+N105</f>
        <v>16377581.3867692</v>
      </c>
      <c r="O106" s="63" t="n">
        <f aca="false">O103+O104+O105</f>
        <v>1787507.00571145</v>
      </c>
      <c r="P106" s="63" t="n">
        <f aca="false">P103+P104+P105</f>
        <v>8552238.091967</v>
      </c>
      <c r="Q106" s="63" t="n">
        <f aca="false">Q103+Q104+Q105</f>
        <v>2804952.84209071</v>
      </c>
      <c r="R106" s="63" t="n">
        <f aca="false">R103+R104+R105</f>
        <v>24875085.6759183</v>
      </c>
      <c r="S106" s="63" t="n">
        <f aca="false">S103+S104+S105</f>
        <v>2138163.65067722</v>
      </c>
      <c r="T106" s="63" t="n">
        <f aca="false">T103+T104+T105</f>
        <v>14201317.1713302</v>
      </c>
      <c r="U106" s="63" t="n">
        <f aca="false">U103+U104+U105</f>
        <v>2029342.04499648</v>
      </c>
      <c r="V106" s="63" t="n">
        <f aca="false">V103+V104+V105</f>
        <v>12426050.4872902</v>
      </c>
      <c r="W106" s="63" t="n">
        <f aca="false">W103+W104+W105</f>
        <v>2160171.75087962</v>
      </c>
      <c r="X106" s="63" t="n">
        <f aca="false">X103+X104+X105</f>
        <v>14573485.5578506</v>
      </c>
      <c r="Y106" s="63" t="n">
        <f aca="false">Y103+Y104+Y105</f>
        <v>1461907.24104754</v>
      </c>
      <c r="Z106" s="63" t="n">
        <f aca="false">Z103+Z104+Z105</f>
        <v>11900014.437774</v>
      </c>
      <c r="AA106" s="63" t="n">
        <f aca="false">AA103+AA104+AA105</f>
        <v>3230053.29666758</v>
      </c>
      <c r="AB106" s="63" t="n">
        <f aca="false">AB103+AB104+AB105</f>
        <v>14552233.521204</v>
      </c>
      <c r="AC106" s="63" t="n">
        <f aca="false">AC103+AC104+AC105</f>
        <v>2051289.25958755</v>
      </c>
      <c r="AD106" s="63" t="n">
        <f aca="false">AD103+AD104+AD105</f>
        <v>12784087.465584</v>
      </c>
      <c r="AE106" s="63" t="n">
        <f aca="false">AE103+AE104+AE105</f>
        <v>2051289.25958755</v>
      </c>
      <c r="AF106" s="63" t="n">
        <f aca="false">AF103+AF104+AF105</f>
        <v>12784087.465584</v>
      </c>
      <c r="AG106" s="63" t="n">
        <f aca="false">AG103+AG104+AG105</f>
        <v>2207402.81767502</v>
      </c>
      <c r="AH106" s="63" t="n">
        <f aca="false">AH103+AH104+AH105</f>
        <v>13842339.6323565</v>
      </c>
    </row>
    <row r="107" customFormat="false" ht="15" hidden="false" customHeight="false" outlineLevel="0" collapsed="false">
      <c r="A107" s="53" t="s">
        <v>1052</v>
      </c>
      <c r="B107" s="54" t="s">
        <v>280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1053</v>
      </c>
      <c r="B108" s="54" t="s">
        <v>280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1054</v>
      </c>
      <c r="B109" s="54" t="s">
        <v>280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1055</v>
      </c>
      <c r="B110" s="54" t="s">
        <v>79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1056</v>
      </c>
      <c r="B111" s="54" t="s">
        <v>79</v>
      </c>
      <c r="C111" s="94" t="n">
        <f aca="false">C104/(C103+C104)</f>
        <v>0.282310936548276</v>
      </c>
      <c r="D111" s="94" t="n">
        <f aca="false">D104/(D103+D104)</f>
        <v>0.521148040333377</v>
      </c>
      <c r="E111" s="94" t="n">
        <f aca="false">E104/(E103+E104)</f>
        <v>0.238550549238054</v>
      </c>
      <c r="F111" s="94" t="n">
        <f aca="false">F104/(F103+F104)</f>
        <v>0.459094328259101</v>
      </c>
      <c r="G111" s="94" t="n">
        <f aca="false">G104/(G103+G104)</f>
        <v>0.339269097413852</v>
      </c>
      <c r="H111" s="94" t="n">
        <f aca="false">H104/(H103+H104)</f>
        <v>0.591452109483862</v>
      </c>
      <c r="I111" s="94" t="n">
        <f aca="false">I104/(I103+I104)</f>
        <v>0.372470941924599</v>
      </c>
      <c r="J111" s="94" t="n">
        <f aca="false">J104/(J103+J104)</f>
        <v>0.627875181315398</v>
      </c>
      <c r="K111" s="94" t="n">
        <f aca="false">K104/(K103+K104)</f>
        <v>0.432889775989946</v>
      </c>
      <c r="L111" s="94" t="n">
        <f aca="false">L104/(L103+L104)</f>
        <v>0.673242307637432</v>
      </c>
      <c r="M111" s="94" t="n">
        <f aca="false">M104/(M103+M104)</f>
        <v>0.192557391766836</v>
      </c>
      <c r="N111" s="94" t="n">
        <f aca="false">N104/(N103+N104)</f>
        <v>0.400044990623849</v>
      </c>
      <c r="O111" s="94" t="n">
        <f aca="false">O104/(O103+O104)</f>
        <v>0.123845535250358</v>
      </c>
      <c r="P111" s="94" t="n">
        <f aca="false">P104/(P103+P104)</f>
        <v>0.255863314337605</v>
      </c>
      <c r="Q111" s="94" t="n">
        <f aca="false">Q104/(Q103+Q104)</f>
        <v>0.526826365936355</v>
      </c>
      <c r="R111" s="94" t="n">
        <f aca="false">R104/(R103+R104)</f>
        <v>0.762776805856927</v>
      </c>
      <c r="S111" s="94" t="n">
        <f aca="false">S104/(S103+S104)</f>
        <v>0.322657653641206</v>
      </c>
      <c r="T111" s="94" t="n">
        <f aca="false">T104/(T103+T104)</f>
        <v>0.572220791017293</v>
      </c>
      <c r="U111" s="94" t="n">
        <f aca="false">U104/(U103+U104)</f>
        <v>0.271345927145862</v>
      </c>
      <c r="V111" s="94" t="n">
        <f aca="false">V104/(V103+V104)</f>
        <v>0.506255828892617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0.282310936548276</v>
      </c>
      <c r="Z111" s="94" t="n">
        <f aca="false">Z104/(Z103+Z104)</f>
        <v>0.521148040333377</v>
      </c>
      <c r="AA111" s="94" t="n">
        <f aca="false">AA104/(AA103+AA104)</f>
        <v>0.282310936548276</v>
      </c>
      <c r="AB111" s="94" t="n">
        <f aca="false">AB104/(AB103+AB104)</f>
        <v>0.521148040333377</v>
      </c>
      <c r="AC111" s="94" t="n">
        <f aca="false">AC104/(AC103+AC104)</f>
        <v>0.282310936548276</v>
      </c>
      <c r="AD111" s="94" t="n">
        <f aca="false">AD104/(AD103+AD104)</f>
        <v>0.521148040333377</v>
      </c>
      <c r="AE111" s="94" t="n">
        <f aca="false">AE104/(AE103+AE104)</f>
        <v>0.282310936548276</v>
      </c>
      <c r="AF111" s="94" t="n">
        <f aca="false">AF104/(AF103+AF104)</f>
        <v>0.521148040333377</v>
      </c>
      <c r="AG111" s="94" t="n">
        <f aca="false">AG104/(AG103+AG104)</f>
        <v>0.270667991364479</v>
      </c>
      <c r="AH111" s="94" t="n">
        <f aca="false">AH104/(AH103+AH104)</f>
        <v>0.505386086201906</v>
      </c>
    </row>
    <row r="112" customFormat="false" ht="15" hidden="false" customHeight="false" outlineLevel="0" collapsed="false">
      <c r="A112" s="53" t="s">
        <v>1057</v>
      </c>
      <c r="B112" s="54" t="s">
        <v>988</v>
      </c>
      <c r="C112" s="60" t="n">
        <f aca="false">C65+C74+C86+C87+C97+C100</f>
        <v>802380.794887774</v>
      </c>
      <c r="D112" s="60" t="n">
        <f aca="false">D65+D74+D86+D87+D97+D100</f>
        <v>4318070.1314041</v>
      </c>
      <c r="E112" s="60" t="n">
        <f aca="false">E65+E74+E86+E87+E97+E100</f>
        <v>802380.794887774</v>
      </c>
      <c r="F112" s="60" t="n">
        <f aca="false">F65+F74+F86+F87+F97+F100</f>
        <v>4318070.1314041</v>
      </c>
      <c r="G112" s="60" t="n">
        <f aca="false">G65+G74+G86+G87+G97+G100</f>
        <v>802380.794887774</v>
      </c>
      <c r="H112" s="60" t="n">
        <f aca="false">H65+H74+H86+H87+H97+H100</f>
        <v>4318070.1314041</v>
      </c>
      <c r="I112" s="60" t="n">
        <f aca="false">I65+I74+I86+I87+I97+I100</f>
        <v>802380.794887774</v>
      </c>
      <c r="J112" s="60" t="n">
        <f aca="false">J65+J74+J86+J87+J97+J100</f>
        <v>4318070.1314041</v>
      </c>
      <c r="K112" s="60" t="n">
        <f aca="false">K65+K74+K86+K87+K97+K100</f>
        <v>802380.794887774</v>
      </c>
      <c r="L112" s="60" t="n">
        <f aca="false">L65+L74+L86+L87+L97+L100</f>
        <v>4318070.1314041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667817.571680837</v>
      </c>
      <c r="P112" s="60" t="n">
        <f aca="false">P65+P74+P86+P87+P97+P100</f>
        <v>1985661.56845377</v>
      </c>
      <c r="Q112" s="60" t="n">
        <f aca="false">Q65+Q74+Q86+Q87+Q97+Q100</f>
        <v>1186847.14690759</v>
      </c>
      <c r="R112" s="60" t="n">
        <f aca="false">R65+R74+R86+R87+R97+R100</f>
        <v>10982094.5969765</v>
      </c>
      <c r="S112" s="60" t="n">
        <f aca="false">S65+S74+S86+S87+S97+S100</f>
        <v>889255.185977442</v>
      </c>
      <c r="T112" s="60" t="n">
        <f aca="false">T65+T74+T86+T87+T97+T100</f>
        <v>5735299.83715031</v>
      </c>
      <c r="U112" s="60" t="n">
        <f aca="false">U65+U74+U86+U87+U97+U100</f>
        <v>780433.5802967</v>
      </c>
      <c r="V112" s="60" t="n">
        <f aca="false">V65+V74+V86+V87+V97+V100</f>
        <v>3960033.15311033</v>
      </c>
      <c r="W112" s="60" t="n">
        <f aca="false">W65+W74+W86+W87+W97+W100</f>
        <v>911263.286179845</v>
      </c>
      <c r="X112" s="60" t="n">
        <f aca="false">X65+X74+X86+X87+X97+X100</f>
        <v>6107468.22367072</v>
      </c>
      <c r="Y112" s="60" t="n">
        <f aca="false">Y65+Y74+Y86+Y87+Y97+Y100</f>
        <v>212998.77634776</v>
      </c>
      <c r="Z112" s="60" t="n">
        <f aca="false">Z65+Z74+Z86+Z87+Z97+Z100</f>
        <v>3433997.10359408</v>
      </c>
      <c r="AA112" s="60" t="n">
        <f aca="false">AA65+AA74+AA86+AA87+AA97+AA100</f>
        <v>1981144.8319678</v>
      </c>
      <c r="AB112" s="60" t="n">
        <f aca="false">AB65+AB74+AB86+AB87+AB97+AB100</f>
        <v>6086216.18702414</v>
      </c>
      <c r="AC112" s="60" t="n">
        <f aca="false">AC65+AC74+AC86+AC87+AC97+AC100</f>
        <v>802380.794887774</v>
      </c>
      <c r="AD112" s="60" t="n">
        <f aca="false">AD65+AD74+AD86+AD87+AD97+AD100</f>
        <v>4318070.1314041</v>
      </c>
      <c r="AE112" s="60" t="n">
        <f aca="false">AE65+AE74+AE86+AE87+AE97+AE100</f>
        <v>802380.794887774</v>
      </c>
      <c r="AF112" s="60" t="n">
        <f aca="false">AF65+AF74+AF86+AF87+AF97+AF100</f>
        <v>4318070.1314041</v>
      </c>
      <c r="AG112" s="60" t="n">
        <f aca="false">AG65+AG74+AG86+AG87+AG97+AG100</f>
        <v>802380.794887774</v>
      </c>
      <c r="AH112" s="60" t="n">
        <f aca="false">AH65+AH74+AH86+AH87+AH97+AH100</f>
        <v>4318070.1314041</v>
      </c>
    </row>
    <row r="113" customFormat="false" ht="15" hidden="false" customHeight="false" outlineLevel="0" collapsed="false">
      <c r="A113" s="53" t="s">
        <v>1058</v>
      </c>
      <c r="B113" s="54" t="s">
        <v>988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1059</v>
      </c>
      <c r="B114" s="54" t="s">
        <v>79</v>
      </c>
      <c r="C114" s="96" t="n">
        <f aca="false">C112/C106</f>
        <v>0.391159262955</v>
      </c>
      <c r="D114" s="96" t="n">
        <f aca="false">D112/D106</f>
        <v>0.337769132370908</v>
      </c>
      <c r="E114" s="96" t="n">
        <f aca="false">E112/E106</f>
        <v>0.278228167791686</v>
      </c>
      <c r="F114" s="96" t="n">
        <f aca="false">F112/F106</f>
        <v>0.234319889768252</v>
      </c>
      <c r="G114" s="96" t="n">
        <f aca="false">G112/G106</f>
        <v>0.506889991454123</v>
      </c>
      <c r="H114" s="96" t="n">
        <f aca="false">H112/H106</f>
        <v>0.449362202947532</v>
      </c>
      <c r="I114" s="96" t="n">
        <f aca="false">I112/I106</f>
        <v>0.562350082224414</v>
      </c>
      <c r="J114" s="96" t="n">
        <f aca="false">J112/J106</f>
        <v>0.504973727076935</v>
      </c>
      <c r="K114" s="96" t="n">
        <f aca="false">K112/K106</f>
        <v>0.519685624264528</v>
      </c>
      <c r="L114" s="96" t="n">
        <f aca="false">L112/L106</f>
        <v>0.427431161656589</v>
      </c>
      <c r="M114" s="96" t="n">
        <f aca="false">M112/M106</f>
        <v>0.293794810184785</v>
      </c>
      <c r="N114" s="96" t="n">
        <f aca="false">N112/N106</f>
        <v>0.263657375862135</v>
      </c>
      <c r="O114" s="96" t="n">
        <f aca="false">O112/O106</f>
        <v>0.373602771651817</v>
      </c>
      <c r="P114" s="96" t="n">
        <f aca="false">P112/P106</f>
        <v>0.232180342397025</v>
      </c>
      <c r="Q114" s="96" t="n">
        <f aca="false">Q112/Q106</f>
        <v>0.423125526068723</v>
      </c>
      <c r="R114" s="96" t="n">
        <f aca="false">R112/R106</f>
        <v>0.441489719474949</v>
      </c>
      <c r="S114" s="96" t="n">
        <f aca="false">S112/S106</f>
        <v>0.415896690459492</v>
      </c>
      <c r="T114" s="96" t="n">
        <f aca="false">T112/T106</f>
        <v>0.403856893551311</v>
      </c>
      <c r="U114" s="96" t="n">
        <f aca="false">U112/U106</f>
        <v>0.384574686273774</v>
      </c>
      <c r="V114" s="96" t="n">
        <f aca="false">V112/V106</f>
        <v>0.318687998021639</v>
      </c>
      <c r="W114" s="96" t="n">
        <f aca="false">W112/W106</f>
        <v>0.421847608093559</v>
      </c>
      <c r="X114" s="96" t="n">
        <f aca="false">X112/X106</f>
        <v>0.419080816282875</v>
      </c>
      <c r="Y114" s="96" t="n">
        <f aca="false">Y112/Y106</f>
        <v>0.14569924162571</v>
      </c>
      <c r="Z114" s="96" t="n">
        <f aca="false">Z112/Z106</f>
        <v>0.288570835065008</v>
      </c>
      <c r="AA114" s="96" t="n">
        <f aca="false">AA112/AA106</f>
        <v>0.613347412568001</v>
      </c>
      <c r="AB114" s="96" t="n">
        <f aca="false">AB112/AB106</f>
        <v>0.418232443710852</v>
      </c>
      <c r="AC114" s="96" t="n">
        <f aca="false">AC112/AC106</f>
        <v>0.391159262955</v>
      </c>
      <c r="AD114" s="96" t="n">
        <f aca="false">AD112/AD106</f>
        <v>0.337769132370908</v>
      </c>
      <c r="AE114" s="96" t="n">
        <f aca="false">AE112/AE106</f>
        <v>0.391159262955</v>
      </c>
      <c r="AF114" s="96" t="n">
        <f aca="false">AF112/AF106</f>
        <v>0.337769132370908</v>
      </c>
      <c r="AG114" s="96" t="n">
        <f aca="false">AG112/AG106</f>
        <v>0.363495411196807</v>
      </c>
      <c r="AH114" s="96" t="n">
        <f aca="false">AH112/AH106</f>
        <v>0.311946552829163</v>
      </c>
    </row>
    <row r="115" customFormat="false" ht="15" hidden="false" customHeight="false" outlineLevel="0" collapsed="false">
      <c r="A115" s="53" t="s">
        <v>1060</v>
      </c>
      <c r="B115" s="54" t="s">
        <v>844</v>
      </c>
      <c r="C115" s="105" t="n">
        <f aca="false">C106*C19/1000000</f>
        <v>10.2433059363508</v>
      </c>
      <c r="D115" s="105" t="n">
        <f aca="false">D106*D19/1000000</f>
        <v>63.8385436939176</v>
      </c>
      <c r="E115" s="105" t="n">
        <f aca="false">E106*E19/1000000</f>
        <v>14.4010005603942</v>
      </c>
      <c r="F115" s="105" t="n">
        <f aca="false">F106*F19/1000000</f>
        <v>92.0224464796515</v>
      </c>
      <c r="G115" s="105" t="n">
        <f aca="false">G106*G19/1000000</f>
        <v>7.9046027103263</v>
      </c>
      <c r="H115" s="105" t="n">
        <f aca="false">H106*H19/1000000</f>
        <v>47.9850983769423</v>
      </c>
      <c r="I115" s="105" t="n">
        <f aca="false">I106*I19/1000000</f>
        <v>7.12503496831815</v>
      </c>
      <c r="J115" s="105" t="n">
        <f aca="false">J106*J19/1000000</f>
        <v>42.7006166046172</v>
      </c>
      <c r="K115" s="105" t="n">
        <f aca="false">K106*K19/1000000</f>
        <v>7.70997659586217</v>
      </c>
      <c r="L115" s="105" t="n">
        <f aca="false">L106*L19/1000000</f>
        <v>50.4471630747431</v>
      </c>
      <c r="M115" s="105" t="n">
        <f aca="false">M106*M19/1000000</f>
        <v>13.6379672526055</v>
      </c>
      <c r="N115" s="105" t="n">
        <f aca="false">N106*N19/1000000</f>
        <v>81.7829937236115</v>
      </c>
      <c r="O115" s="105" t="n">
        <f aca="false">O106*O19/1000000</f>
        <v>8.92608443070295</v>
      </c>
      <c r="P115" s="105" t="n">
        <f aca="false">P106*P19/1000000</f>
        <v>42.7064056456596</v>
      </c>
      <c r="Q115" s="105" t="n">
        <f aca="false">Q106*Q19/1000000</f>
        <v>14.0067959524873</v>
      </c>
      <c r="R115" s="105" t="n">
        <f aca="false">R106*R19/1000000</f>
        <v>124.216080974655</v>
      </c>
      <c r="S115" s="105" t="n">
        <f aca="false">S106*S19/1000000</f>
        <v>10.6771213828103</v>
      </c>
      <c r="T115" s="105" t="n">
        <f aca="false">T106*T19/1000000</f>
        <v>70.9156135855435</v>
      </c>
      <c r="U115" s="105" t="n">
        <f aca="false">U106*U19/1000000</f>
        <v>10.1337104551399</v>
      </c>
      <c r="V115" s="105" t="n">
        <f aca="false">V106*V19/1000000</f>
        <v>62.0506523528753</v>
      </c>
      <c r="W115" s="105" t="n">
        <f aca="false">W106*W19/1000000</f>
        <v>10.7870209020504</v>
      </c>
      <c r="X115" s="105" t="n">
        <f aca="false">X106*X19/1000000</f>
        <v>72.774071443278</v>
      </c>
      <c r="Y115" s="105" t="n">
        <f aca="false">Y106*Y19/1000000</f>
        <v>7.3001713681411</v>
      </c>
      <c r="Z115" s="105" t="n">
        <f aca="false">Z106*Z19/1000000</f>
        <v>59.4238418416031</v>
      </c>
      <c r="AA115" s="105" t="n">
        <f aca="false">AA106*AA19/1000000</f>
        <v>16.1295750727701</v>
      </c>
      <c r="AB115" s="105" t="n">
        <f aca="false">AB106*AB19/1000000</f>
        <v>72.6679473985466</v>
      </c>
      <c r="AC115" s="105" t="n">
        <f aca="false">AC106*AC19/1000000</f>
        <v>10.2433059363508</v>
      </c>
      <c r="AD115" s="105" t="n">
        <f aca="false">AD106*AD19/1000000</f>
        <v>63.8385436939176</v>
      </c>
      <c r="AE115" s="105" t="n">
        <f aca="false">AE106*AE19/1000000</f>
        <v>10.2433059363508</v>
      </c>
      <c r="AF115" s="105" t="n">
        <f aca="false">AF106*AF19/1000000</f>
        <v>63.8385436939176</v>
      </c>
      <c r="AG115" s="105" t="n">
        <f aca="false">AG106*AG19/1000000</f>
        <v>11.0228736783589</v>
      </c>
      <c r="AH115" s="105" t="n">
        <f aca="false">AH106*AH19/1000000</f>
        <v>69.1230254662427</v>
      </c>
    </row>
    <row r="116" customFormat="false" ht="15" hidden="false" customHeight="false" outlineLevel="0" collapsed="false">
      <c r="A116" s="53" t="s">
        <v>1061</v>
      </c>
      <c r="B116" s="54" t="s">
        <v>844</v>
      </c>
      <c r="C116" s="67" t="n">
        <f aca="false">C106*C20/1000000</f>
        <v>7.64823654059452</v>
      </c>
      <c r="D116" s="67" t="n">
        <f aca="false">D106*D20/1000000</f>
        <v>47.6654983861688</v>
      </c>
      <c r="E116" s="67" t="n">
        <f aca="false">E106*E20/1000000</f>
        <v>10.7526085222412</v>
      </c>
      <c r="F116" s="67" t="n">
        <f aca="false">F106*F20/1000000</f>
        <v>68.7092079543326</v>
      </c>
      <c r="G116" s="67" t="n">
        <f aca="false">G106*G20/1000000</f>
        <v>5.90202730091824</v>
      </c>
      <c r="H116" s="67" t="n">
        <f aca="false">H106*H20/1000000</f>
        <v>35.8284117540767</v>
      </c>
      <c r="I116" s="67" t="n">
        <f aca="false">I106*I20/1000000</f>
        <v>5.31995755435949</v>
      </c>
      <c r="J116" s="67" t="n">
        <f aca="false">J106*J20/1000000</f>
        <v>31.882716210046</v>
      </c>
      <c r="K116" s="67" t="n">
        <f aca="false">K106*K20/1000000</f>
        <v>5.7567083414292</v>
      </c>
      <c r="L116" s="67" t="n">
        <f aca="false">L106*L20/1000000</f>
        <v>37.6667297057258</v>
      </c>
      <c r="M116" s="67" t="n">
        <f aca="false">M106*M20/1000000</f>
        <v>10.1828843274761</v>
      </c>
      <c r="N116" s="67" t="n">
        <f aca="false">N106*N20/1000000</f>
        <v>61.0638484179625</v>
      </c>
      <c r="O116" s="67" t="n">
        <f aca="false">O106*O20/1000000</f>
        <v>6.66472382368922</v>
      </c>
      <c r="P116" s="67" t="n">
        <f aca="false">P106*P20/1000000</f>
        <v>31.8870386383236</v>
      </c>
      <c r="Q116" s="67" t="n">
        <f aca="false">Q106*Q20/1000000</f>
        <v>10.4582728746097</v>
      </c>
      <c r="R116" s="67" t="n">
        <f aca="false">R106*R20/1000000</f>
        <v>92.7468119514411</v>
      </c>
      <c r="S116" s="67" t="n">
        <f aca="false">S106*S20/1000000</f>
        <v>7.97214789988643</v>
      </c>
      <c r="T116" s="67" t="n">
        <f aca="false">T106*T20/1000000</f>
        <v>52.9496424781062</v>
      </c>
      <c r="U116" s="67" t="n">
        <f aca="false">U106*U20/1000000</f>
        <v>7.56640630245762</v>
      </c>
      <c r="V116" s="67" t="n">
        <f aca="false">V106*V20/1000000</f>
        <v>46.3305567208373</v>
      </c>
      <c r="W116" s="67" t="n">
        <f aca="false">W106*W20/1000000</f>
        <v>8.05420515015982</v>
      </c>
      <c r="X116" s="67" t="n">
        <f aca="false">X106*X20/1000000</f>
        <v>54.337273130261</v>
      </c>
      <c r="Y116" s="67" t="n">
        <f aca="false">Y106*Y20/1000000</f>
        <v>5.45072438110832</v>
      </c>
      <c r="Z116" s="67" t="n">
        <f aca="false">Z106*Z20/1000000</f>
        <v>44.3692301469395</v>
      </c>
      <c r="AA116" s="67" t="n">
        <f aca="false">AA106*AA20/1000000</f>
        <v>12.0432608595669</v>
      </c>
      <c r="AB116" s="67" t="n">
        <f aca="false">AB106*AB20/1000000</f>
        <v>54.2580348646274</v>
      </c>
      <c r="AC116" s="67" t="n">
        <f aca="false">AC106*AC20/1000000</f>
        <v>7.64823654059452</v>
      </c>
      <c r="AD116" s="67" t="n">
        <f aca="false">AD106*AD20/1000000</f>
        <v>47.6654983861688</v>
      </c>
      <c r="AE116" s="67" t="n">
        <f aca="false">AE106*AE20/1000000</f>
        <v>7.64823654059452</v>
      </c>
      <c r="AF116" s="67" t="n">
        <f aca="false">AF106*AF20/1000000</f>
        <v>47.6654983861688</v>
      </c>
      <c r="AG116" s="67" t="n">
        <f aca="false">AG106*AG20/1000000</f>
        <v>8.23030628715328</v>
      </c>
      <c r="AH116" s="67" t="n">
        <f aca="false">AH106*AH20/1000000</f>
        <v>51.6111939301995</v>
      </c>
    </row>
    <row r="117" customFormat="false" ht="15" hidden="false" customHeight="false" outlineLevel="0" collapsed="false">
      <c r="A117" s="53" t="s">
        <v>1062</v>
      </c>
      <c r="B117" s="54" t="s">
        <v>79</v>
      </c>
      <c r="C117" s="138" t="n">
        <f aca="false">C106/(C18*8760)</f>
        <v>0.000802640124877243</v>
      </c>
      <c r="D117" s="138" t="n">
        <f aca="false">D106/(D18*8760)</f>
        <v>0.00500223043232874</v>
      </c>
      <c r="E117" s="138" t="n">
        <f aca="false">E106/(E18*8760)</f>
        <v>0.00112842679501868</v>
      </c>
      <c r="F117" s="138" t="n">
        <f aca="false">F106/(F18*8760)</f>
        <v>0.00721065136518321</v>
      </c>
      <c r="G117" s="138" t="n">
        <f aca="false">G106/(G18*8760)</f>
        <v>0.000619385122922686</v>
      </c>
      <c r="H117" s="138" t="n">
        <f aca="false">H106/(H18*8760)</f>
        <v>0.00375999365759809</v>
      </c>
      <c r="I117" s="138" t="n">
        <f aca="false">I106/(I18*8760)</f>
        <v>0.000558300122271167</v>
      </c>
      <c r="J117" s="138" t="n">
        <f aca="false">J106/(J18*8760)</f>
        <v>0.00334591473268788</v>
      </c>
      <c r="K117" s="138" t="n">
        <f aca="false">K106/(K18*8760)</f>
        <v>0.000604134701839049</v>
      </c>
      <c r="L117" s="138" t="n">
        <f aca="false">L106/(L18*8760)</f>
        <v>0.00395291495944908</v>
      </c>
      <c r="M117" s="138" t="n">
        <f aca="false">M106/(M18*8760)</f>
        <v>0.00106863739174842</v>
      </c>
      <c r="N117" s="138" t="n">
        <f aca="false">N106/(N18*8760)</f>
        <v>0.00640831316598748</v>
      </c>
      <c r="O117" s="138" t="n">
        <f aca="false">O106/(O18*8760)</f>
        <v>0.000699425904746198</v>
      </c>
      <c r="P117" s="138" t="n">
        <f aca="false">P106/(P18*8760)</f>
        <v>0.00334636834762958</v>
      </c>
      <c r="Q117" s="138" t="n">
        <f aca="false">Q106/(Q18*8760)</f>
        <v>0.00109753789668023</v>
      </c>
      <c r="R117" s="138" t="n">
        <f aca="false">R106/(R18*8760)</f>
        <v>0.0097332649600406</v>
      </c>
      <c r="S117" s="138" t="n">
        <f aca="false">S106/(S18*8760)</f>
        <v>0.000836632830580224</v>
      </c>
      <c r="T117" s="138" t="n">
        <f aca="false">T106/(T18*8760)</f>
        <v>0.00555677212979201</v>
      </c>
      <c r="U117" s="138" t="n">
        <f aca="false">U106/(U18*8760)</f>
        <v>0.000794052493962806</v>
      </c>
      <c r="V117" s="138" t="n">
        <f aca="false">V106/(V18*8760)</f>
        <v>0.00486213568770643</v>
      </c>
      <c r="W117" s="138" t="n">
        <f aca="false">W106/(W18*8760)</f>
        <v>0.00084524428516285</v>
      </c>
      <c r="X117" s="138" t="n">
        <f aca="false">X106/(X18*8760)</f>
        <v>0.00570239629217473</v>
      </c>
      <c r="Y117" s="138" t="n">
        <f aca="false">Y106/(Y18*8760)</f>
        <v>0.000572023377507116</v>
      </c>
      <c r="Z117" s="138" t="n">
        <f aca="false">Z106/(Z18*8760)</f>
        <v>0.00465630531127355</v>
      </c>
      <c r="AA117" s="138" t="n">
        <f aca="false">AA106/(AA18*8760)</f>
        <v>0.0012638736196175</v>
      </c>
      <c r="AB117" s="138" t="n">
        <f aca="false">AB106/(AB18*8760)</f>
        <v>0.00569408067443912</v>
      </c>
      <c r="AC117" s="138" t="n">
        <f aca="false">AC106/(AC18*8760)</f>
        <v>0.000802640124877243</v>
      </c>
      <c r="AD117" s="138" t="n">
        <f aca="false">AD106/(AD18*8760)</f>
        <v>0.00500223043232874</v>
      </c>
      <c r="AE117" s="138" t="n">
        <f aca="false">AE106/(AE18*8760)</f>
        <v>0.000802640124877243</v>
      </c>
      <c r="AF117" s="138" t="n">
        <f aca="false">AF106/(AF18*8760)</f>
        <v>0.00500223043232874</v>
      </c>
      <c r="AG117" s="138" t="n">
        <f aca="false">AG106/(AG18*8760)</f>
        <v>0.000863725125528762</v>
      </c>
      <c r="AH117" s="138" t="n">
        <f aca="false">AH106/(AH18*8760)</f>
        <v>0.00541630935723895</v>
      </c>
    </row>
    <row r="118" customFormat="false" ht="15" hidden="false" customHeight="false" outlineLevel="0" collapsed="false">
      <c r="A118" s="68" t="s">
        <v>1063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1064</v>
      </c>
      <c r="B119" s="54" t="s">
        <v>83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1065</v>
      </c>
      <c r="B120" s="54" t="s">
        <v>988</v>
      </c>
      <c r="C120" s="63" t="n">
        <f aca="false">C106*C119</f>
        <v>16410314.0767004</v>
      </c>
      <c r="D120" s="63" t="n">
        <f aca="false">D106*D119</f>
        <v>102272699.724672</v>
      </c>
      <c r="E120" s="63" t="n">
        <f aca="false">E106*E119</f>
        <v>23071159.2217659</v>
      </c>
      <c r="F120" s="63" t="n">
        <f aca="false">F106*F119</f>
        <v>147424792.173631</v>
      </c>
      <c r="G120" s="63" t="n">
        <f aca="false">G106*G119</f>
        <v>12663588.6826011</v>
      </c>
      <c r="H120" s="63" t="n">
        <f aca="false">H106*H119</f>
        <v>76874647.7221323</v>
      </c>
      <c r="I120" s="63" t="n">
        <f aca="false">I106*I119</f>
        <v>11414680.2179013</v>
      </c>
      <c r="J120" s="63" t="n">
        <f aca="false">J106*J119</f>
        <v>68408630.3879524</v>
      </c>
      <c r="K120" s="63" t="n">
        <f aca="false">K106*K119</f>
        <v>12351787.4256895</v>
      </c>
      <c r="L120" s="63" t="n">
        <f aca="false">L106*L119</f>
        <v>80819004.6728201</v>
      </c>
      <c r="M120" s="63" t="n">
        <f aca="false">M106*M119</f>
        <v>21848739.7890551</v>
      </c>
      <c r="N120" s="63" t="n">
        <f aca="false">N106*N119</f>
        <v>131020651.094153</v>
      </c>
      <c r="O120" s="63" t="n">
        <f aca="false">O106*O119</f>
        <v>14300056.0456916</v>
      </c>
      <c r="P120" s="63" t="n">
        <f aca="false">P106*P119</f>
        <v>68417904.735736</v>
      </c>
      <c r="Q120" s="63" t="n">
        <f aca="false">Q106*Q119</f>
        <v>22439622.7367257</v>
      </c>
      <c r="R120" s="63" t="n">
        <f aca="false">R106*R119</f>
        <v>199000685.407346</v>
      </c>
      <c r="S120" s="63" t="n">
        <f aca="false">S106*S119</f>
        <v>17105309.2054178</v>
      </c>
      <c r="T120" s="63" t="n">
        <f aca="false">T106*T119</f>
        <v>113610537.370642</v>
      </c>
      <c r="U120" s="63" t="n">
        <f aca="false">U106*U119</f>
        <v>16234736.3599718</v>
      </c>
      <c r="V120" s="63" t="n">
        <f aca="false">V106*V119</f>
        <v>99408403.8983218</v>
      </c>
      <c r="W120" s="63" t="n">
        <f aca="false">W106*W119</f>
        <v>17281374.007037</v>
      </c>
      <c r="X120" s="63" t="n">
        <f aca="false">X106*X119</f>
        <v>116587884.462805</v>
      </c>
      <c r="Y120" s="63" t="n">
        <f aca="false">Y106*Y119</f>
        <v>11695257.9283803</v>
      </c>
      <c r="Z120" s="63" t="n">
        <f aca="false">Z106*Z119</f>
        <v>95200115.5021918</v>
      </c>
      <c r="AA120" s="63" t="n">
        <f aca="false">AA106*AA119</f>
        <v>25840426.3733406</v>
      </c>
      <c r="AB120" s="63" t="n">
        <f aca="false">AB106*AB119</f>
        <v>116417868.169632</v>
      </c>
      <c r="AC120" s="63" t="n">
        <f aca="false">AC106*AC119</f>
        <v>9025672.74218523</v>
      </c>
      <c r="AD120" s="63" t="n">
        <f aca="false">AD106*AD119</f>
        <v>56249984.8485696</v>
      </c>
      <c r="AE120" s="63" t="n">
        <f aca="false">AE106*AE119</f>
        <v>21333408.2997105</v>
      </c>
      <c r="AF120" s="63" t="n">
        <f aca="false">AF106*AF119</f>
        <v>132954509.642074</v>
      </c>
      <c r="AG120" s="63" t="n">
        <f aca="false">AG106*AG119</f>
        <v>17659222.5414002</v>
      </c>
      <c r="AH120" s="63" t="n">
        <f aca="false">AH106*AH119</f>
        <v>110738717.058852</v>
      </c>
    </row>
    <row r="121" customFormat="false" ht="15" hidden="false" customHeight="false" outlineLevel="0" collapsed="false">
      <c r="A121" s="53" t="s">
        <v>1066</v>
      </c>
      <c r="B121" s="54" t="s">
        <v>988</v>
      </c>
      <c r="C121" s="60" t="n">
        <f aca="false">C120-C106</f>
        <v>14359024.8171129</v>
      </c>
      <c r="D121" s="60" t="n">
        <f aca="false">D120-D106</f>
        <v>89488612.259088</v>
      </c>
      <c r="E121" s="60" t="n">
        <f aca="false">E120-E106</f>
        <v>20187264.3190452</v>
      </c>
      <c r="F121" s="60" t="n">
        <f aca="false">F120-F106</f>
        <v>128996693.151927</v>
      </c>
      <c r="G121" s="60" t="n">
        <f aca="false">G120-G106</f>
        <v>11080640.0972759</v>
      </c>
      <c r="H121" s="60" t="n">
        <f aca="false">H120-H106</f>
        <v>67265316.7568657</v>
      </c>
      <c r="I121" s="60" t="n">
        <f aca="false">I120-I106</f>
        <v>9987845.19066364</v>
      </c>
      <c r="J121" s="60" t="n">
        <f aca="false">J120-J106</f>
        <v>59857551.5894584</v>
      </c>
      <c r="K121" s="60" t="n">
        <f aca="false">K120-K106</f>
        <v>10807813.9974783</v>
      </c>
      <c r="L121" s="60" t="n">
        <f aca="false">L120-L106</f>
        <v>70716629.0887176</v>
      </c>
      <c r="M121" s="60" t="n">
        <f aca="false">M120-M106</f>
        <v>19117647.3154232</v>
      </c>
      <c r="N121" s="60" t="n">
        <f aca="false">N120-N106</f>
        <v>114643069.707384</v>
      </c>
      <c r="O121" s="60" t="n">
        <f aca="false">O120-O106</f>
        <v>12512549.0399801</v>
      </c>
      <c r="P121" s="60" t="n">
        <f aca="false">P120-P106</f>
        <v>59865666.643769</v>
      </c>
      <c r="Q121" s="60" t="n">
        <f aca="false">Q120-Q106</f>
        <v>19634669.894635</v>
      </c>
      <c r="R121" s="60" t="n">
        <f aca="false">R120-R106</f>
        <v>174125599.731428</v>
      </c>
      <c r="S121" s="60" t="n">
        <f aca="false">S120-S106</f>
        <v>14967145.5547405</v>
      </c>
      <c r="T121" s="60" t="n">
        <f aca="false">T120-T106</f>
        <v>99409220.1993114</v>
      </c>
      <c r="U121" s="60" t="n">
        <f aca="false">U120-U106</f>
        <v>14205394.3149753</v>
      </c>
      <c r="V121" s="60" t="n">
        <f aca="false">V120-V106</f>
        <v>86982353.4110315</v>
      </c>
      <c r="W121" s="60" t="n">
        <f aca="false">W120-W106</f>
        <v>15121202.2561574</v>
      </c>
      <c r="X121" s="60" t="n">
        <f aca="false">X120-X106</f>
        <v>102014398.904954</v>
      </c>
      <c r="Y121" s="60" t="n">
        <f aca="false">Y120-Y106</f>
        <v>10233350.6873328</v>
      </c>
      <c r="Z121" s="60" t="n">
        <f aca="false">Z120-Z106</f>
        <v>83300101.0644178</v>
      </c>
      <c r="AA121" s="60" t="n">
        <f aca="false">AA120-AA106</f>
        <v>22610373.0766731</v>
      </c>
      <c r="AB121" s="60" t="n">
        <f aca="false">AB120-AB106</f>
        <v>101865634.648428</v>
      </c>
      <c r="AC121" s="60" t="n">
        <f aca="false">AC120-AC106</f>
        <v>6974383.48259768</v>
      </c>
      <c r="AD121" s="60" t="n">
        <f aca="false">AD120-AD106</f>
        <v>43465897.3829856</v>
      </c>
      <c r="AE121" s="60" t="n">
        <f aca="false">AE120-AE106</f>
        <v>19282119.040123</v>
      </c>
      <c r="AF121" s="60" t="n">
        <f aca="false">AF120-AF106</f>
        <v>120170422.17649</v>
      </c>
      <c r="AG121" s="60" t="n">
        <f aca="false">AG120-AG106</f>
        <v>15451819.7237252</v>
      </c>
      <c r="AH121" s="60" t="n">
        <f aca="false">AH120-AH106</f>
        <v>96896377.4264954</v>
      </c>
    </row>
    <row r="122" customFormat="false" ht="15" hidden="false" customHeight="false" outlineLevel="0" collapsed="false">
      <c r="A122" s="53" t="s">
        <v>1067</v>
      </c>
      <c r="B122" s="54" t="s">
        <v>844</v>
      </c>
      <c r="C122" s="63" t="n">
        <f aca="false">C120*C19/1000000</f>
        <v>81.946447490806</v>
      </c>
      <c r="D122" s="63" t="n">
        <f aca="false">D120*D19/1000000</f>
        <v>510.708349551341</v>
      </c>
      <c r="E122" s="63" t="n">
        <f aca="false">E120*E19/1000000</f>
        <v>115.208004483154</v>
      </c>
      <c r="F122" s="63" t="n">
        <f aca="false">F120*F19/1000000</f>
        <v>736.179571837212</v>
      </c>
      <c r="G122" s="63" t="n">
        <f aca="false">G120*G19/1000000</f>
        <v>63.2368216826104</v>
      </c>
      <c r="H122" s="63" t="n">
        <f aca="false">H120*H19/1000000</f>
        <v>383.880787015538</v>
      </c>
      <c r="I122" s="63" t="n">
        <f aca="false">I120*I19/1000000</f>
        <v>57.0002797465452</v>
      </c>
      <c r="J122" s="63" t="n">
        <f aca="false">J120*J19/1000000</f>
        <v>341.604932836938</v>
      </c>
      <c r="K122" s="63" t="n">
        <f aca="false">K120*K19/1000000</f>
        <v>61.6798127668973</v>
      </c>
      <c r="L122" s="63" t="n">
        <f aca="false">L120*L19/1000000</f>
        <v>403.577304597945</v>
      </c>
      <c r="M122" s="63" t="n">
        <f aca="false">M120*M19/1000000</f>
        <v>109.103738020844</v>
      </c>
      <c r="N122" s="63" t="n">
        <f aca="false">N120*N19/1000000</f>
        <v>654.263949788892</v>
      </c>
      <c r="O122" s="63" t="n">
        <f aca="false">O120*O19/1000000</f>
        <v>71.4086754456236</v>
      </c>
      <c r="P122" s="63" t="n">
        <f aca="false">P120*P19/1000000</f>
        <v>341.651245165276</v>
      </c>
      <c r="Q122" s="63" t="n">
        <f aca="false">Q120*Q19/1000000</f>
        <v>112.054367619899</v>
      </c>
      <c r="R122" s="63" t="n">
        <f aca="false">R120*R19/1000000</f>
        <v>993.728647797239</v>
      </c>
      <c r="S122" s="63" t="n">
        <f aca="false">S120*S19/1000000</f>
        <v>85.4169710624824</v>
      </c>
      <c r="T122" s="63" t="n">
        <f aca="false">T120*T19/1000000</f>
        <v>567.324908684348</v>
      </c>
      <c r="U122" s="63" t="n">
        <f aca="false">U120*U19/1000000</f>
        <v>81.0696836411194</v>
      </c>
      <c r="V122" s="63" t="n">
        <f aca="false">V120*V19/1000000</f>
        <v>496.405218823002</v>
      </c>
      <c r="W122" s="63" t="n">
        <f aca="false">W120*W19/1000000</f>
        <v>86.2961672164034</v>
      </c>
      <c r="X122" s="63" t="n">
        <f aca="false">X120*X19/1000000</f>
        <v>582.192571546224</v>
      </c>
      <c r="Y122" s="63" t="n">
        <f aca="false">Y120*Y19/1000000</f>
        <v>58.4013709451288</v>
      </c>
      <c r="Z122" s="63" t="n">
        <f aca="false">Z120*Z19/1000000</f>
        <v>475.390734732825</v>
      </c>
      <c r="AA122" s="63" t="n">
        <f aca="false">AA120*AA19/1000000</f>
        <v>129.036600582161</v>
      </c>
      <c r="AB122" s="63" t="n">
        <f aca="false">AB120*AB19/1000000</f>
        <v>581.343579188373</v>
      </c>
      <c r="AC122" s="63" t="n">
        <f aca="false">AC120*AC19/1000000</f>
        <v>45.0705461199433</v>
      </c>
      <c r="AD122" s="63" t="n">
        <f aca="false">AD120*AD19/1000000</f>
        <v>280.889592253238</v>
      </c>
      <c r="AE122" s="63" t="n">
        <f aca="false">AE120*AE19/1000000</f>
        <v>106.530381738048</v>
      </c>
      <c r="AF122" s="63" t="n">
        <f aca="false">AF120*AF19/1000000</f>
        <v>663.920854416743</v>
      </c>
      <c r="AG122" s="63" t="n">
        <f aca="false">AG120*AG19/1000000</f>
        <v>88.1829894268713</v>
      </c>
      <c r="AH122" s="63" t="n">
        <f aca="false">AH120*AH19/1000000</f>
        <v>552.984203729942</v>
      </c>
    </row>
    <row r="123" customFormat="false" ht="15" hidden="false" customHeight="false" outlineLevel="0" collapsed="false">
      <c r="A123" s="53" t="s">
        <v>1068</v>
      </c>
      <c r="B123" s="54" t="s">
        <v>79</v>
      </c>
      <c r="C123" s="93" t="n">
        <f aca="false">C120/(C18*8760)</f>
        <v>0.00642112099901794</v>
      </c>
      <c r="D123" s="93" t="n">
        <f aca="false">D120/(D18*8760)</f>
        <v>0.0400178434586299</v>
      </c>
      <c r="E123" s="93" t="n">
        <f aca="false">E120/(E18*8760)</f>
        <v>0.00902741436014942</v>
      </c>
      <c r="F123" s="93" t="n">
        <f aca="false">F120/(F18*8760)</f>
        <v>0.0576852109214657</v>
      </c>
      <c r="G123" s="93" t="n">
        <f aca="false">G120/(G18*8760)</f>
        <v>0.00495508098338149</v>
      </c>
      <c r="H123" s="93" t="n">
        <f aca="false">H120/(H18*8760)</f>
        <v>0.0300799492607848</v>
      </c>
      <c r="I123" s="93" t="n">
        <f aca="false">I120/(I18*8760)</f>
        <v>0.00446640097816934</v>
      </c>
      <c r="J123" s="93" t="n">
        <f aca="false">J120/(J18*8760)</f>
        <v>0.0267673178615031</v>
      </c>
      <c r="K123" s="93" t="n">
        <f aca="false">K120/(K18*8760)</f>
        <v>0.0048330776147124</v>
      </c>
      <c r="L123" s="93" t="n">
        <f aca="false">L120/(L18*8760)</f>
        <v>0.0316233196755926</v>
      </c>
      <c r="M123" s="93" t="n">
        <f aca="false">M120/(M18*8760)</f>
        <v>0.00854909913398737</v>
      </c>
      <c r="N123" s="93" t="n">
        <f aca="false">N120/(N18*8760)</f>
        <v>0.0512665053278999</v>
      </c>
      <c r="O123" s="93" t="n">
        <f aca="false">O120/(O18*8760)</f>
        <v>0.00559540723796958</v>
      </c>
      <c r="P123" s="93" t="n">
        <f aca="false">P120/(P18*8760)</f>
        <v>0.0267709467810367</v>
      </c>
      <c r="Q123" s="93" t="n">
        <f aca="false">Q120/(Q18*8760)</f>
        <v>0.00878030317344182</v>
      </c>
      <c r="R123" s="93" t="n">
        <f aca="false">R120/(R18*8760)</f>
        <v>0.0778661196803248</v>
      </c>
      <c r="S123" s="93" t="n">
        <f aca="false">S120/(S18*8760)</f>
        <v>0.00669306264464179</v>
      </c>
      <c r="T123" s="93" t="n">
        <f aca="false">T120/(T18*8760)</f>
        <v>0.0444541770383361</v>
      </c>
      <c r="U123" s="93" t="n">
        <f aca="false">U120/(U18*8760)</f>
        <v>0.00635241995170244</v>
      </c>
      <c r="V123" s="93" t="n">
        <f aca="false">V120/(V18*8760)</f>
        <v>0.0388970855016515</v>
      </c>
      <c r="W123" s="93" t="n">
        <f aca="false">W120/(W18*8760)</f>
        <v>0.0067619542813028</v>
      </c>
      <c r="X123" s="93" t="n">
        <f aca="false">X120/(X18*8760)</f>
        <v>0.0456191703373979</v>
      </c>
      <c r="Y123" s="93" t="n">
        <f aca="false">Y120/(Y18*8760)</f>
        <v>0.00457618702005692</v>
      </c>
      <c r="Z123" s="93" t="n">
        <f aca="false">Z120/(Z18*8760)</f>
        <v>0.0372504424901884</v>
      </c>
      <c r="AA123" s="93" t="n">
        <f aca="false">AA120/(AA18*8760)</f>
        <v>0.01011098895694</v>
      </c>
      <c r="AB123" s="93" t="n">
        <f aca="false">AB120/(AB18*8760)</f>
        <v>0.0455526453955129</v>
      </c>
      <c r="AC123" s="93" t="n">
        <f aca="false">AC120/(AC18*8760)</f>
        <v>0.00353161654945987</v>
      </c>
      <c r="AD123" s="93" t="n">
        <f aca="false">AD120/(AD18*8760)</f>
        <v>0.0220098139022464</v>
      </c>
      <c r="AE123" s="93" t="n">
        <f aca="false">AE120/(AE18*8760)</f>
        <v>0.00834745729872333</v>
      </c>
      <c r="AF123" s="93" t="n">
        <f aca="false">AF120/(AF18*8760)</f>
        <v>0.0520231964962189</v>
      </c>
      <c r="AG123" s="93" t="n">
        <f aca="false">AG120/(AG18*8760)</f>
        <v>0.00690980100423009</v>
      </c>
      <c r="AH123" s="93" t="n">
        <f aca="false">AH120/(AH18*8760)</f>
        <v>0.0433304748579116</v>
      </c>
    </row>
    <row r="124" customFormat="false" ht="15" hidden="false" customHeight="false" outlineLevel="0" collapsed="false">
      <c r="A124" s="68" t="s">
        <v>1069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1070</v>
      </c>
      <c r="B125" s="54" t="s">
        <v>988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1071</v>
      </c>
      <c r="B126" s="54" t="s">
        <v>988</v>
      </c>
      <c r="C126" s="60" t="n">
        <f aca="false">C65+C74+C86+C87</f>
        <v>209542.386794135</v>
      </c>
      <c r="D126" s="60" t="n">
        <f aca="false">D65+D74+D86+D87</f>
        <v>3404528.00266708</v>
      </c>
      <c r="E126" s="60" t="n">
        <f aca="false">E65+E74+E86+E87</f>
        <v>209542.386794135</v>
      </c>
      <c r="F126" s="60" t="n">
        <f aca="false">F65+F74+F86+F87</f>
        <v>3404528.00266708</v>
      </c>
      <c r="G126" s="60" t="n">
        <f aca="false">G65+G74+G86+G87</f>
        <v>209542.386794135</v>
      </c>
      <c r="H126" s="60" t="n">
        <f aca="false">H65+H74+H86+H87</f>
        <v>3404528.00266708</v>
      </c>
      <c r="I126" s="60" t="n">
        <f aca="false">I65+I74+I86+I87</f>
        <v>209542.386794135</v>
      </c>
      <c r="J126" s="60" t="n">
        <f aca="false">J65+J74+J86+J87</f>
        <v>3404528.00266708</v>
      </c>
      <c r="K126" s="60" t="n">
        <f aca="false">K65+K74+K86+K87</f>
        <v>209542.386794135</v>
      </c>
      <c r="L126" s="60" t="n">
        <f aca="false">L65+L74+L86+L87</f>
        <v>3404528.00266708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74979.1635871987</v>
      </c>
      <c r="P126" s="60" t="n">
        <f aca="false">P65+P74+P86+P87</f>
        <v>1072119.43971675</v>
      </c>
      <c r="Q126" s="60" t="n">
        <f aca="false">Q65+Q74+Q86+Q87</f>
        <v>594008.738813953</v>
      </c>
      <c r="R126" s="60" t="n">
        <f aca="false">R65+R74+R86+R87</f>
        <v>10068552.4682394</v>
      </c>
      <c r="S126" s="60" t="n">
        <f aca="false">S65+S74+S86+S87</f>
        <v>296416.777883803</v>
      </c>
      <c r="T126" s="60" t="n">
        <f aca="false">T65+T74+T86+T87</f>
        <v>4821757.70841329</v>
      </c>
      <c r="U126" s="60" t="n">
        <f aca="false">U65+U74+U86+U87</f>
        <v>187595.172203061</v>
      </c>
      <c r="V126" s="60" t="n">
        <f aca="false">V65+V74+V86+V87</f>
        <v>3046491.0243733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209542.386794135</v>
      </c>
      <c r="Z126" s="60" t="n">
        <f aca="false">Z65+Z74+Z86+Z87</f>
        <v>3404528.00266708</v>
      </c>
      <c r="AA126" s="60" t="n">
        <f aca="false">AA65+AA74+AA86+AA87</f>
        <v>209542.386794135</v>
      </c>
      <c r="AB126" s="60" t="n">
        <f aca="false">AB65+AB74+AB86+AB87</f>
        <v>3404528.00266708</v>
      </c>
      <c r="AC126" s="60" t="n">
        <f aca="false">AC65+AC74+AC86+AC87</f>
        <v>209542.386794135</v>
      </c>
      <c r="AD126" s="60" t="n">
        <f aca="false">AD65+AD74+AD86+AD87</f>
        <v>3404528.00266708</v>
      </c>
      <c r="AE126" s="60" t="n">
        <f aca="false">AE65+AE74+AE86+AE87</f>
        <v>209542.386794135</v>
      </c>
      <c r="AF126" s="60" t="n">
        <f aca="false">AF65+AF74+AF86+AF87</f>
        <v>3404528.00266708</v>
      </c>
      <c r="AG126" s="60" t="n">
        <f aca="false">AG65+AG74+AG86+AG87</f>
        <v>209542.386794135</v>
      </c>
      <c r="AH126" s="60" t="n">
        <f aca="false">AH65+AH74+AH86+AH87</f>
        <v>3404528.00266708</v>
      </c>
    </row>
    <row r="127" customFormat="false" ht="15" hidden="false" customHeight="false" outlineLevel="0" collapsed="false">
      <c r="A127" s="53" t="s">
        <v>1072</v>
      </c>
      <c r="B127" s="54" t="s">
        <v>988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1073</v>
      </c>
      <c r="B128" s="54" t="s">
        <v>988</v>
      </c>
      <c r="C128" s="60" t="n">
        <f aca="false">C105</f>
        <v>592838.408093639</v>
      </c>
      <c r="D128" s="60" t="n">
        <f aca="false">D105</f>
        <v>913542.128737021</v>
      </c>
      <c r="E128" s="60" t="n">
        <f aca="false">E105</f>
        <v>592838.408093639</v>
      </c>
      <c r="F128" s="60" t="n">
        <f aca="false">F105</f>
        <v>913542.128737021</v>
      </c>
      <c r="G128" s="60" t="n">
        <f aca="false">G105</f>
        <v>592838.408093639</v>
      </c>
      <c r="H128" s="60" t="n">
        <f aca="false">H105</f>
        <v>913542.128737021</v>
      </c>
      <c r="I128" s="60" t="n">
        <f aca="false">I105</f>
        <v>592838.408093639</v>
      </c>
      <c r="J128" s="60" t="n">
        <f aca="false">J105</f>
        <v>913542.128737021</v>
      </c>
      <c r="K128" s="60" t="n">
        <f aca="false">K105</f>
        <v>592838.408093639</v>
      </c>
      <c r="L128" s="60" t="n">
        <f aca="false">L105</f>
        <v>913542.128737021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592838.408093639</v>
      </c>
      <c r="P128" s="60" t="n">
        <f aca="false">P105</f>
        <v>913542.128737021</v>
      </c>
      <c r="Q128" s="60" t="n">
        <f aca="false">Q105</f>
        <v>592838.408093639</v>
      </c>
      <c r="R128" s="60" t="n">
        <f aca="false">R105</f>
        <v>913542.128737021</v>
      </c>
      <c r="S128" s="60" t="n">
        <f aca="false">S105</f>
        <v>592838.408093639</v>
      </c>
      <c r="T128" s="60" t="n">
        <f aca="false">T105</f>
        <v>913542.128737021</v>
      </c>
      <c r="U128" s="60" t="n">
        <f aca="false">U105</f>
        <v>592838.408093639</v>
      </c>
      <c r="V128" s="60" t="n">
        <f aca="false">V105</f>
        <v>913542.128737021</v>
      </c>
      <c r="W128" s="60" t="n">
        <f aca="false">W105</f>
        <v>594611.578217</v>
      </c>
      <c r="X128" s="60" t="n">
        <f aca="false">X105</f>
        <v>928896.82443303</v>
      </c>
      <c r="Y128" s="60" t="n">
        <f aca="false">Y105</f>
        <v>3456.38955362504</v>
      </c>
      <c r="Z128" s="60" t="n">
        <f aca="false">Z105</f>
        <v>29469.1009270007</v>
      </c>
      <c r="AA128" s="60" t="n">
        <f aca="false">AA105</f>
        <v>1771602.44517367</v>
      </c>
      <c r="AB128" s="60" t="n">
        <f aca="false">AB105</f>
        <v>2681688.18435706</v>
      </c>
      <c r="AC128" s="60" t="n">
        <f aca="false">AC105</f>
        <v>592838.408093639</v>
      </c>
      <c r="AD128" s="60" t="n">
        <f aca="false">AD105</f>
        <v>913542.128737021</v>
      </c>
      <c r="AE128" s="60" t="n">
        <f aca="false">AE105</f>
        <v>592838.408093639</v>
      </c>
      <c r="AF128" s="60" t="n">
        <f aca="false">AF105</f>
        <v>913542.128737021</v>
      </c>
      <c r="AG128" s="60" t="n">
        <f aca="false">AG105</f>
        <v>592838.408093639</v>
      </c>
      <c r="AH128" s="60" t="n">
        <f aca="false">AH105</f>
        <v>913542.128737021</v>
      </c>
    </row>
    <row r="129" customFormat="false" ht="15" hidden="false" customHeight="false" outlineLevel="0" collapsed="false">
      <c r="A129" s="53" t="s">
        <v>1074</v>
      </c>
      <c r="B129" s="54" t="s">
        <v>988</v>
      </c>
      <c r="C129" s="60" t="n">
        <f aca="false">C121</f>
        <v>14359024.8171129</v>
      </c>
      <c r="D129" s="60" t="n">
        <f aca="false">D121</f>
        <v>89488612.259088</v>
      </c>
      <c r="E129" s="60" t="n">
        <f aca="false">E121</f>
        <v>20187264.3190452</v>
      </c>
      <c r="F129" s="60" t="n">
        <f aca="false">F121</f>
        <v>128996693.151927</v>
      </c>
      <c r="G129" s="60" t="n">
        <f aca="false">G121</f>
        <v>11080640.0972759</v>
      </c>
      <c r="H129" s="60" t="n">
        <f aca="false">H121</f>
        <v>67265316.7568657</v>
      </c>
      <c r="I129" s="60" t="n">
        <f aca="false">I121</f>
        <v>9987845.19066364</v>
      </c>
      <c r="J129" s="60" t="n">
        <f aca="false">J121</f>
        <v>59857551.5894584</v>
      </c>
      <c r="K129" s="60" t="n">
        <f aca="false">K121</f>
        <v>10807813.9974783</v>
      </c>
      <c r="L129" s="60" t="n">
        <f aca="false">L121</f>
        <v>70716629.0887176</v>
      </c>
      <c r="M129" s="60" t="n">
        <f aca="false">M121</f>
        <v>19117647.3154232</v>
      </c>
      <c r="N129" s="60" t="n">
        <f aca="false">N121</f>
        <v>114643069.707384</v>
      </c>
      <c r="O129" s="60" t="n">
        <f aca="false">O121</f>
        <v>12512549.0399801</v>
      </c>
      <c r="P129" s="60" t="n">
        <f aca="false">P121</f>
        <v>59865666.643769</v>
      </c>
      <c r="Q129" s="60" t="n">
        <f aca="false">Q121</f>
        <v>19634669.894635</v>
      </c>
      <c r="R129" s="60" t="n">
        <f aca="false">R121</f>
        <v>174125599.731428</v>
      </c>
      <c r="S129" s="60" t="n">
        <f aca="false">S121</f>
        <v>14967145.5547405</v>
      </c>
      <c r="T129" s="60" t="n">
        <f aca="false">T121</f>
        <v>99409220.1993114</v>
      </c>
      <c r="U129" s="60" t="n">
        <f aca="false">U121</f>
        <v>14205394.3149753</v>
      </c>
      <c r="V129" s="60" t="n">
        <f aca="false">V121</f>
        <v>86982353.4110315</v>
      </c>
      <c r="W129" s="60" t="n">
        <f aca="false">W121</f>
        <v>15121202.2561574</v>
      </c>
      <c r="X129" s="60" t="n">
        <f aca="false">X121</f>
        <v>102014398.904954</v>
      </c>
      <c r="Y129" s="60" t="n">
        <f aca="false">Y121</f>
        <v>10233350.6873328</v>
      </c>
      <c r="Z129" s="60" t="n">
        <f aca="false">Z121</f>
        <v>83300101.0644178</v>
      </c>
      <c r="AA129" s="60" t="n">
        <f aca="false">AA121</f>
        <v>22610373.0766731</v>
      </c>
      <c r="AB129" s="60" t="n">
        <f aca="false">AB121</f>
        <v>101865634.648428</v>
      </c>
      <c r="AC129" s="60" t="n">
        <f aca="false">AC121</f>
        <v>6974383.48259768</v>
      </c>
      <c r="AD129" s="60" t="n">
        <f aca="false">AD121</f>
        <v>43465897.3829856</v>
      </c>
      <c r="AE129" s="60" t="n">
        <f aca="false">AE121</f>
        <v>19282119.040123</v>
      </c>
      <c r="AF129" s="60" t="n">
        <f aca="false">AF121</f>
        <v>120170422.17649</v>
      </c>
      <c r="AG129" s="60" t="n">
        <f aca="false">AG121</f>
        <v>15451819.7237252</v>
      </c>
      <c r="AH129" s="60" t="n">
        <f aca="false">AH121</f>
        <v>96896377.4264954</v>
      </c>
    </row>
    <row r="130" customFormat="false" ht="15" hidden="false" customHeight="false" outlineLevel="0" collapsed="false">
      <c r="A130" s="68" t="s">
        <v>1098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1099</v>
      </c>
      <c r="B131" s="54" t="s">
        <v>83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1.40589382469667</v>
      </c>
      <c r="F131" s="97" t="n">
        <f aca="false">F106/$D$106</f>
        <v>1.44148724508606</v>
      </c>
      <c r="G131" s="97" t="n">
        <f aca="false">G106/$C$106</f>
        <v>0.771684723608125</v>
      </c>
      <c r="H131" s="97" t="n">
        <f aca="false">H106/$D$106</f>
        <v>0.75166342463909</v>
      </c>
      <c r="I131" s="97" t="n">
        <f aca="false">I106/$C$106</f>
        <v>0.6955796314775</v>
      </c>
      <c r="J131" s="97" t="n">
        <f aca="false">J106/$D$106</f>
        <v>0.668884566185454</v>
      </c>
      <c r="K131" s="97" t="n">
        <f aca="false">K106/$C$106</f>
        <v>0.752684401283137</v>
      </c>
      <c r="L131" s="97" t="n">
        <f aca="false">L106/$D$106</f>
        <v>0.790230480767524</v>
      </c>
      <c r="M131" s="97" t="n">
        <f aca="false">M106/$C$106</f>
        <v>1.3314029022806</v>
      </c>
      <c r="N131" s="97" t="n">
        <f aca="false">N106/$D$106</f>
        <v>1.28109115577152</v>
      </c>
      <c r="O131" s="97" t="n">
        <f aca="false">O106/$C$106</f>
        <v>0.871406603118888</v>
      </c>
      <c r="P131" s="97" t="n">
        <f aca="false">P106/$D$106</f>
        <v>0.668975248721542</v>
      </c>
      <c r="Q131" s="97" t="n">
        <f aca="false">Q106/$C$106</f>
        <v>1.36740970537461</v>
      </c>
      <c r="R131" s="97" t="n">
        <f aca="false">R106/$D$106</f>
        <v>1.94578500365274</v>
      </c>
      <c r="S131" s="97" t="n">
        <f aca="false">S106/$C$106</f>
        <v>1.04235111683232</v>
      </c>
      <c r="T131" s="97" t="n">
        <f aca="false">T106/$D$106</f>
        <v>1.11085888684363</v>
      </c>
      <c r="U131" s="97" t="n">
        <f aca="false">U106/$C$106</f>
        <v>0.989300770484468</v>
      </c>
      <c r="V131" s="97" t="n">
        <f aca="false">V106/$D$106</f>
        <v>0.971993544376347</v>
      </c>
      <c r="W131" s="97" t="n">
        <f aca="false">W106/$C$106</f>
        <v>1.05308002797907</v>
      </c>
      <c r="X131" s="97" t="n">
        <f aca="false">X106/$D$106</f>
        <v>1.13997073291964</v>
      </c>
      <c r="Y131" s="97" t="n">
        <f aca="false">Y106/$C$106</f>
        <v>0.712677275627856</v>
      </c>
      <c r="Z131" s="97" t="n">
        <f aca="false">Z106/$D$106</f>
        <v>0.930845824530689</v>
      </c>
      <c r="AA131" s="97" t="n">
        <f aca="false">AA106/$C$106</f>
        <v>1.57464544874429</v>
      </c>
      <c r="AB131" s="97" t="n">
        <f aca="false">AB106/$D$106</f>
        <v>1.13830835093862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1.07610509213063</v>
      </c>
      <c r="AH131" s="97" t="n">
        <f aca="false">AH106/$D$106</f>
        <v>1.08277885845364</v>
      </c>
    </row>
    <row r="132" customFormat="false" ht="15" hidden="false" customHeight="false" outlineLevel="0" collapsed="false">
      <c r="A132" s="53" t="s">
        <v>1100</v>
      </c>
      <c r="B132" s="54" t="s">
        <v>83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1.40589382469667</v>
      </c>
      <c r="F132" s="97" t="n">
        <f aca="false">F120/$D$120</f>
        <v>1.44148724508606</v>
      </c>
      <c r="G132" s="97" t="n">
        <f aca="false">G120/$C$120</f>
        <v>0.771684723608125</v>
      </c>
      <c r="H132" s="97" t="n">
        <f aca="false">H120/$D$120</f>
        <v>0.75166342463909</v>
      </c>
      <c r="I132" s="97" t="n">
        <f aca="false">I120/$C$120</f>
        <v>0.6955796314775</v>
      </c>
      <c r="J132" s="97" t="n">
        <f aca="false">J120/$D$120</f>
        <v>0.668884566185454</v>
      </c>
      <c r="K132" s="97" t="n">
        <f aca="false">K120/$C$120</f>
        <v>0.752684401283137</v>
      </c>
      <c r="L132" s="97" t="n">
        <f aca="false">L120/$D$120</f>
        <v>0.790230480767524</v>
      </c>
      <c r="M132" s="97" t="n">
        <f aca="false">M120/$C$120</f>
        <v>1.3314029022806</v>
      </c>
      <c r="N132" s="97" t="n">
        <f aca="false">N120/$D$120</f>
        <v>1.28109115577152</v>
      </c>
      <c r="O132" s="97" t="n">
        <f aca="false">O120/$C$120</f>
        <v>0.871406603118888</v>
      </c>
      <c r="P132" s="97" t="n">
        <f aca="false">P120/$D$120</f>
        <v>0.668975248721542</v>
      </c>
      <c r="Q132" s="97" t="n">
        <f aca="false">Q120/$C$120</f>
        <v>1.36740970537461</v>
      </c>
      <c r="R132" s="97" t="n">
        <f aca="false">R120/$D$120</f>
        <v>1.94578500365274</v>
      </c>
      <c r="S132" s="97" t="n">
        <f aca="false">S120/$C$120</f>
        <v>1.04235111683232</v>
      </c>
      <c r="T132" s="97" t="n">
        <f aca="false">T120/$D$120</f>
        <v>1.11085888684363</v>
      </c>
      <c r="U132" s="97" t="n">
        <f aca="false">U120/$C$120</f>
        <v>0.989300770484468</v>
      </c>
      <c r="V132" s="97" t="n">
        <f aca="false">V120/$D$120</f>
        <v>0.971993544376347</v>
      </c>
      <c r="W132" s="97" t="n">
        <f aca="false">W120/$C$120</f>
        <v>1.05308002797907</v>
      </c>
      <c r="X132" s="97" t="n">
        <f aca="false">X120/$D$120</f>
        <v>1.13997073291964</v>
      </c>
      <c r="Y132" s="97" t="n">
        <f aca="false">Y120/$C$120</f>
        <v>0.712677275627856</v>
      </c>
      <c r="Z132" s="97" t="n">
        <f aca="false">Z120/$D$120</f>
        <v>0.930845824530689</v>
      </c>
      <c r="AA132" s="97" t="n">
        <f aca="false">AA120/$C$120</f>
        <v>1.57464544874429</v>
      </c>
      <c r="AB132" s="97" t="n">
        <f aca="false">AB120/$D$120</f>
        <v>1.13830835093862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1.07610509213063</v>
      </c>
      <c r="AH132" s="97" t="n">
        <f aca="false">AH120/$D$120</f>
        <v>1.08277885845364</v>
      </c>
    </row>
    <row r="133" customFormat="false" ht="15" hidden="false" customHeight="false" outlineLevel="0" collapsed="false">
      <c r="A133" s="53" t="s">
        <v>1101</v>
      </c>
      <c r="B133" s="54" t="s">
        <v>83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0.844992234997107</v>
      </c>
      <c r="F133" s="97" t="n">
        <f aca="false">F111/$D$111</f>
        <v>0.880928820082332</v>
      </c>
      <c r="G133" s="97" t="n">
        <f aca="false">G111/$C$111</f>
        <v>1.20175683436846</v>
      </c>
      <c r="H133" s="97" t="n">
        <f aca="false">H111/$D$111</f>
        <v>1.13490229974867</v>
      </c>
      <c r="I133" s="97" t="n">
        <f aca="false">I111/$C$111</f>
        <v>1.31936419636689</v>
      </c>
      <c r="J133" s="97" t="n">
        <f aca="false">J111/$D$111</f>
        <v>1.20479236746961</v>
      </c>
      <c r="K133" s="97" t="n">
        <f aca="false">K111/$C$111</f>
        <v>1.53337940528535</v>
      </c>
      <c r="L133" s="97" t="n">
        <f aca="false">L111/$D$111</f>
        <v>1.29184464975971</v>
      </c>
      <c r="M133" s="97" t="n">
        <f aca="false">M111/$C$111</f>
        <v>0.682075565761541</v>
      </c>
      <c r="N133" s="97" t="n">
        <f aca="false">N111/$D$111</f>
        <v>0.767622555709777</v>
      </c>
      <c r="O133" s="97" t="n">
        <f aca="false">O111/$C$111</f>
        <v>0.438684865576152</v>
      </c>
      <c r="P133" s="97" t="n">
        <f aca="false">P111/$D$111</f>
        <v>0.490960906566837</v>
      </c>
      <c r="Q133" s="97" t="n">
        <f aca="false">Q111/$C$111</f>
        <v>1.86612099544456</v>
      </c>
      <c r="R133" s="97" t="n">
        <f aca="false">R111/$D$111</f>
        <v>1.46364707688238</v>
      </c>
      <c r="S133" s="97" t="n">
        <f aca="false">S111/$C$111</f>
        <v>1.14291588411783</v>
      </c>
      <c r="T133" s="97" t="n">
        <f aca="false">T111/$D$111</f>
        <v>1.09800046576256</v>
      </c>
      <c r="U133" s="97" t="n">
        <f aca="false">U111/$C$111</f>
        <v>0.961159813585404</v>
      </c>
      <c r="V133" s="97" t="n">
        <f aca="false">V111/$D$111</f>
        <v>0.97142422058954</v>
      </c>
      <c r="W133" s="97" t="n">
        <f aca="false">W111/$C$111</f>
        <v>1.17392664831301</v>
      </c>
      <c r="X133" s="97" t="n">
        <f aca="false">X111/$D$111</f>
        <v>1.11946589729714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0.958758433781733</v>
      </c>
      <c r="AH133" s="97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0" t="s">
        <v>1102</v>
      </c>
    </row>
    <row r="2" customFormat="false" ht="15" hidden="false" customHeight="false" outlineLevel="0" collapsed="false">
      <c r="A2" s="51" t="s">
        <v>1103</v>
      </c>
    </row>
    <row r="4" customFormat="false" ht="15" hidden="false" customHeight="false" outlineLevel="0" collapsed="false">
      <c r="A4" s="68" t="s">
        <v>1104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10" t="s">
        <v>336</v>
      </c>
      <c r="B5" s="10" t="s">
        <v>63</v>
      </c>
      <c r="C5" s="10" t="s">
        <v>1105</v>
      </c>
      <c r="D5" s="52" t="s">
        <v>1106</v>
      </c>
      <c r="E5" s="52" t="s">
        <v>1107</v>
      </c>
      <c r="F5" s="10" t="s">
        <v>67</v>
      </c>
      <c r="G5" s="10" t="s">
        <v>304</v>
      </c>
    </row>
    <row r="6" customFormat="false" ht="15" hidden="false" customHeight="false" outlineLevel="0" collapsed="false">
      <c r="A6" s="53" t="s">
        <v>1108</v>
      </c>
      <c r="B6" s="54" t="s">
        <v>774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1" t="s">
        <v>115</v>
      </c>
      <c r="G6" s="80" t="s">
        <v>1109</v>
      </c>
    </row>
    <row r="7" customFormat="false" ht="15" hidden="false" customHeight="false" outlineLevel="0" collapsed="false">
      <c r="A7" s="53" t="s">
        <v>1110</v>
      </c>
      <c r="B7" s="54" t="s">
        <v>774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1" t="s">
        <v>115</v>
      </c>
      <c r="G7" s="86" t="s">
        <v>1111</v>
      </c>
    </row>
    <row r="8" customFormat="false" ht="15" hidden="false" customHeight="false" outlineLevel="0" collapsed="false">
      <c r="A8" s="53" t="s">
        <v>1112</v>
      </c>
      <c r="B8" s="54" t="s">
        <v>774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1" t="s">
        <v>115</v>
      </c>
      <c r="G8" s="86" t="s">
        <v>1113</v>
      </c>
    </row>
    <row r="10" customFormat="false" ht="15" hidden="false" customHeight="false" outlineLevel="0" collapsed="false">
      <c r="A10" s="68" t="s">
        <v>1114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10" t="s">
        <v>336</v>
      </c>
      <c r="B11" s="10" t="s">
        <v>63</v>
      </c>
      <c r="C11" s="10" t="s">
        <v>65</v>
      </c>
      <c r="D11" s="10" t="s">
        <v>1115</v>
      </c>
      <c r="E11" s="10" t="s">
        <v>1116</v>
      </c>
      <c r="F11" s="10" t="s">
        <v>67</v>
      </c>
      <c r="G11" s="10" t="s">
        <v>304</v>
      </c>
    </row>
    <row r="12" customFormat="false" ht="15" hidden="false" customHeight="false" outlineLevel="0" collapsed="false">
      <c r="A12" s="5" t="s">
        <v>1117</v>
      </c>
      <c r="B12" s="54" t="s">
        <v>79</v>
      </c>
      <c r="C12" s="58" t="n">
        <v>0.2</v>
      </c>
      <c r="D12" s="58" t="n">
        <v>0.1</v>
      </c>
      <c r="E12" s="58" t="n">
        <v>0.3</v>
      </c>
      <c r="F12" s="51" t="s">
        <v>80</v>
      </c>
      <c r="G12" s="86" t="s">
        <v>1118</v>
      </c>
    </row>
    <row r="13" customFormat="false" ht="15" hidden="false" customHeight="false" outlineLevel="0" collapsed="false">
      <c r="A13" s="5" t="s">
        <v>1119</v>
      </c>
      <c r="B13" s="54" t="s">
        <v>79</v>
      </c>
      <c r="C13" s="58" t="n">
        <v>0.55</v>
      </c>
      <c r="D13" s="58" t="n">
        <v>0.3</v>
      </c>
      <c r="E13" s="58" t="n">
        <v>0.75</v>
      </c>
      <c r="F13" s="51" t="s">
        <v>80</v>
      </c>
      <c r="G13" s="86" t="s">
        <v>1120</v>
      </c>
    </row>
    <row r="14" customFormat="false" ht="26.85" hidden="false" customHeight="false" outlineLevel="0" collapsed="false">
      <c r="A14" s="5" t="s">
        <v>1121</v>
      </c>
      <c r="B14" s="54" t="s">
        <v>83</v>
      </c>
      <c r="C14" s="71" t="n">
        <v>0</v>
      </c>
      <c r="D14" s="71" t="n">
        <v>0</v>
      </c>
      <c r="E14" s="71" t="n">
        <v>0.5</v>
      </c>
      <c r="F14" s="51" t="s">
        <v>80</v>
      </c>
      <c r="G14" s="80" t="s">
        <v>1122</v>
      </c>
    </row>
    <row r="15" customFormat="false" ht="15" hidden="false" customHeight="false" outlineLevel="0" collapsed="false">
      <c r="A15" s="5" t="s">
        <v>1123</v>
      </c>
      <c r="B15" s="54" t="s">
        <v>83</v>
      </c>
      <c r="C15" s="71" t="n">
        <v>1</v>
      </c>
      <c r="D15" s="71" t="n">
        <v>0.5</v>
      </c>
      <c r="E15" s="71" t="n">
        <v>7</v>
      </c>
      <c r="F15" s="51" t="s">
        <v>80</v>
      </c>
      <c r="G15" s="86" t="s">
        <v>1124</v>
      </c>
    </row>
    <row r="16" customFormat="false" ht="15" hidden="false" customHeight="false" outlineLevel="0" collapsed="false">
      <c r="A16" s="5" t="s">
        <v>1125</v>
      </c>
      <c r="B16" s="53" t="s">
        <v>75</v>
      </c>
      <c r="C16" s="59" t="n">
        <v>2</v>
      </c>
      <c r="D16" s="59" t="n">
        <v>1</v>
      </c>
      <c r="E16" s="59" t="n">
        <v>2</v>
      </c>
      <c r="F16" s="51" t="s">
        <v>72</v>
      </c>
      <c r="G16" s="80" t="s">
        <v>1126</v>
      </c>
    </row>
    <row r="17" customFormat="false" ht="15" hidden="false" customHeight="false" outlineLevel="0" collapsed="false">
      <c r="A17" s="5" t="s">
        <v>1127</v>
      </c>
      <c r="B17" s="54" t="s">
        <v>1128</v>
      </c>
      <c r="C17" s="82" t="n">
        <f aca="false">SRC_PRC_028</f>
        <v>35</v>
      </c>
      <c r="F17" s="51" t="s">
        <v>115</v>
      </c>
      <c r="G17" s="80" t="s">
        <v>1129</v>
      </c>
    </row>
    <row r="18" customFormat="false" ht="15" hidden="false" customHeight="false" outlineLevel="0" collapsed="false">
      <c r="A18" s="5" t="s">
        <v>1130</v>
      </c>
      <c r="B18" s="54" t="s">
        <v>83</v>
      </c>
      <c r="C18" s="90" t="n">
        <f aca="false">SRC_PRC_027</f>
        <v>0.5</v>
      </c>
      <c r="F18" s="51" t="s">
        <v>115</v>
      </c>
      <c r="G18" s="80" t="s">
        <v>1131</v>
      </c>
    </row>
    <row r="20" customFormat="false" ht="15" hidden="false" customHeight="false" outlineLevel="0" collapsed="false">
      <c r="A20" s="68" t="s">
        <v>1132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10" t="s">
        <v>336</v>
      </c>
      <c r="B21" s="10" t="s">
        <v>63</v>
      </c>
      <c r="C21" s="10" t="s">
        <v>1105</v>
      </c>
      <c r="D21" s="52" t="s">
        <v>1106</v>
      </c>
      <c r="E21" s="52" t="s">
        <v>1107</v>
      </c>
      <c r="F21" s="10" t="s">
        <v>67</v>
      </c>
      <c r="G21" s="10" t="s">
        <v>304</v>
      </c>
    </row>
    <row r="22" customFormat="false" ht="15" hidden="false" customHeight="false" outlineLevel="0" collapsed="false">
      <c r="A22" s="53" t="s">
        <v>1133</v>
      </c>
      <c r="B22" s="53" t="s">
        <v>1134</v>
      </c>
      <c r="C22" s="59" t="n">
        <v>12</v>
      </c>
      <c r="D22" s="59" t="n">
        <v>12</v>
      </c>
      <c r="E22" s="59" t="n">
        <v>9</v>
      </c>
      <c r="F22" s="51" t="s">
        <v>80</v>
      </c>
      <c r="G22" s="66" t="s">
        <v>1135</v>
      </c>
    </row>
    <row r="23" customFormat="false" ht="15" hidden="false" customHeight="false" outlineLevel="0" collapsed="false">
      <c r="A23" s="53" t="s">
        <v>1136</v>
      </c>
      <c r="B23" s="53" t="s">
        <v>1134</v>
      </c>
      <c r="C23" s="59" t="n">
        <v>6</v>
      </c>
      <c r="D23" s="59" t="n">
        <v>6</v>
      </c>
      <c r="E23" s="59" t="n">
        <v>6</v>
      </c>
      <c r="F23" s="51" t="s">
        <v>80</v>
      </c>
      <c r="G23" s="66"/>
    </row>
    <row r="24" customFormat="false" ht="15" hidden="false" customHeight="false" outlineLevel="0" collapsed="false">
      <c r="A24" s="53" t="s">
        <v>1137</v>
      </c>
      <c r="B24" s="53" t="s">
        <v>1134</v>
      </c>
      <c r="C24" s="59" t="n">
        <v>24</v>
      </c>
      <c r="D24" s="59" t="n">
        <v>24</v>
      </c>
      <c r="E24" s="59" t="n">
        <v>18</v>
      </c>
      <c r="F24" s="51" t="s">
        <v>80</v>
      </c>
      <c r="G24" s="66"/>
    </row>
    <row r="26" customFormat="false" ht="15" hidden="false" customHeight="false" outlineLevel="0" collapsed="false">
      <c r="A26" s="68" t="s">
        <v>1138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10" t="s">
        <v>336</v>
      </c>
      <c r="B27" s="10" t="s">
        <v>63</v>
      </c>
      <c r="C27" s="10" t="s">
        <v>65</v>
      </c>
      <c r="D27" s="10" t="s">
        <v>1115</v>
      </c>
      <c r="E27" s="10" t="s">
        <v>1116</v>
      </c>
      <c r="F27" s="10" t="s">
        <v>67</v>
      </c>
      <c r="G27" s="10" t="s">
        <v>304</v>
      </c>
    </row>
    <row r="28" customFormat="false" ht="26.85" hidden="false" customHeight="false" outlineLevel="0" collapsed="false">
      <c r="A28" s="53" t="s">
        <v>1139</v>
      </c>
      <c r="B28" s="54" t="s">
        <v>79</v>
      </c>
      <c r="C28" s="58" t="n">
        <v>0.41</v>
      </c>
      <c r="D28" s="58" t="n">
        <v>0.3</v>
      </c>
      <c r="E28" s="58" t="n">
        <v>0.6</v>
      </c>
      <c r="F28" s="51" t="s">
        <v>1140</v>
      </c>
      <c r="G28" s="80" t="s">
        <v>1141</v>
      </c>
    </row>
    <row r="29" customFormat="false" ht="15" hidden="false" customHeight="false" outlineLevel="0" collapsed="false">
      <c r="A29" s="53" t="s">
        <v>1142</v>
      </c>
      <c r="B29" s="54" t="s">
        <v>79</v>
      </c>
      <c r="C29" s="58" t="n">
        <v>0.46</v>
      </c>
      <c r="D29" s="58" t="n">
        <v>0.35</v>
      </c>
      <c r="E29" s="58" t="n">
        <v>0.6</v>
      </c>
      <c r="F29" s="51" t="s">
        <v>185</v>
      </c>
      <c r="G29" s="80" t="s">
        <v>1143</v>
      </c>
    </row>
    <row r="30" customFormat="false" ht="15" hidden="false" customHeight="false" outlineLevel="0" collapsed="false">
      <c r="A30" s="10" t="s">
        <v>336</v>
      </c>
      <c r="B30" s="10" t="s">
        <v>63</v>
      </c>
      <c r="C30" s="10" t="s">
        <v>1105</v>
      </c>
      <c r="D30" s="52" t="s">
        <v>1106</v>
      </c>
      <c r="E30" s="52" t="s">
        <v>1107</v>
      </c>
      <c r="F30" s="10" t="s">
        <v>67</v>
      </c>
      <c r="G30" s="10" t="s">
        <v>304</v>
      </c>
    </row>
    <row r="31" customFormat="false" ht="15" hidden="false" customHeight="false" outlineLevel="0" collapsed="false">
      <c r="A31" s="53" t="s">
        <v>1144</v>
      </c>
      <c r="B31" s="54" t="s">
        <v>79</v>
      </c>
      <c r="C31" s="58" t="n">
        <v>0.4</v>
      </c>
      <c r="D31" s="58" t="n">
        <v>0.45</v>
      </c>
      <c r="E31" s="58" t="n">
        <v>0.15</v>
      </c>
      <c r="F31" s="51" t="s">
        <v>80</v>
      </c>
      <c r="G31" s="80" t="s">
        <v>1145</v>
      </c>
    </row>
    <row r="32" customFormat="false" ht="15" hidden="false" customHeight="false" outlineLevel="0" collapsed="false">
      <c r="A32" s="53" t="s">
        <v>1146</v>
      </c>
      <c r="B32" s="54" t="s">
        <v>79</v>
      </c>
      <c r="C32" s="58" t="n">
        <v>0.9</v>
      </c>
      <c r="D32" s="58" t="n">
        <v>0.1</v>
      </c>
      <c r="E32" s="58" t="n">
        <v>0</v>
      </c>
      <c r="F32" s="51" t="s">
        <v>80</v>
      </c>
      <c r="G32" s="80" t="s">
        <v>1147</v>
      </c>
    </row>
    <row r="34" customFormat="false" ht="15" hidden="false" customHeight="false" outlineLevel="0" collapsed="false">
      <c r="A34" s="68" t="s">
        <v>1148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10" t="s">
        <v>336</v>
      </c>
      <c r="B35" s="10" t="s">
        <v>63</v>
      </c>
      <c r="C35" s="10" t="s">
        <v>65</v>
      </c>
      <c r="D35" s="10" t="s">
        <v>1115</v>
      </c>
      <c r="E35" s="10" t="s">
        <v>1116</v>
      </c>
      <c r="F35" s="10" t="s">
        <v>67</v>
      </c>
      <c r="G35" s="10" t="s">
        <v>304</v>
      </c>
    </row>
    <row r="36" customFormat="false" ht="15" hidden="false" customHeight="false" outlineLevel="0" collapsed="false">
      <c r="A36" s="5" t="s">
        <v>1149</v>
      </c>
      <c r="B36" s="53" t="s">
        <v>75</v>
      </c>
      <c r="C36" s="59" t="n">
        <v>2</v>
      </c>
      <c r="D36" s="59" t="n">
        <v>1</v>
      </c>
      <c r="E36" s="59" t="n">
        <v>3</v>
      </c>
      <c r="F36" s="51" t="s">
        <v>80</v>
      </c>
      <c r="G36" s="86" t="s">
        <v>1150</v>
      </c>
    </row>
    <row r="37" customFormat="false" ht="15" hidden="false" customHeight="false" outlineLevel="0" collapsed="false">
      <c r="A37" s="5" t="s">
        <v>1151</v>
      </c>
      <c r="B37" s="54" t="s">
        <v>1128</v>
      </c>
      <c r="C37" s="141" t="n">
        <v>0.0833333333333333</v>
      </c>
      <c r="D37" s="141" t="n">
        <v>0.0833333333333333</v>
      </c>
      <c r="E37" s="141" t="n">
        <v>1</v>
      </c>
      <c r="F37" s="51" t="s">
        <v>84</v>
      </c>
      <c r="G37" s="80" t="s">
        <v>1152</v>
      </c>
    </row>
    <row r="38" customFormat="false" ht="15" hidden="false" customHeight="false" outlineLevel="0" collapsed="false">
      <c r="A38" s="5" t="s">
        <v>1153</v>
      </c>
      <c r="B38" s="53" t="s">
        <v>1154</v>
      </c>
      <c r="C38" s="59" t="n">
        <v>5</v>
      </c>
      <c r="D38" s="59" t="n">
        <v>1</v>
      </c>
      <c r="E38" s="59" t="n">
        <v>20</v>
      </c>
      <c r="F38" s="51" t="s">
        <v>80</v>
      </c>
      <c r="G38" s="86" t="s">
        <v>1155</v>
      </c>
    </row>
    <row r="39" customFormat="false" ht="15" hidden="false" customHeight="false" outlineLevel="0" collapsed="false">
      <c r="A39" s="6" t="s">
        <v>1156</v>
      </c>
      <c r="B39" s="54" t="s">
        <v>1157</v>
      </c>
      <c r="C39" s="71" t="n">
        <v>10</v>
      </c>
      <c r="D39" s="71" t="n">
        <v>5</v>
      </c>
      <c r="E39" s="71" t="n">
        <v>20</v>
      </c>
      <c r="F39" s="51" t="s">
        <v>80</v>
      </c>
      <c r="G39" s="80" t="s">
        <v>1158</v>
      </c>
    </row>
    <row r="40" customFormat="false" ht="15" hidden="false" customHeight="false" outlineLevel="0" collapsed="false">
      <c r="A40" s="6" t="s">
        <v>1159</v>
      </c>
      <c r="B40" s="53" t="s">
        <v>114</v>
      </c>
      <c r="C40" s="59" t="n">
        <v>4</v>
      </c>
      <c r="D40" s="59" t="n">
        <v>3</v>
      </c>
      <c r="E40" s="59" t="n">
        <v>6</v>
      </c>
      <c r="F40" s="51" t="s">
        <v>80</v>
      </c>
      <c r="G40" s="86"/>
    </row>
    <row r="41" customFormat="false" ht="15" hidden="false" customHeight="false" outlineLevel="0" collapsed="false">
      <c r="A41" s="6" t="s">
        <v>1160</v>
      </c>
      <c r="B41" s="54" t="s">
        <v>1157</v>
      </c>
      <c r="C41" s="71" t="n">
        <v>0.1</v>
      </c>
      <c r="D41" s="71" t="n">
        <v>0.05</v>
      </c>
      <c r="E41" s="71" t="n">
        <v>0.3</v>
      </c>
      <c r="F41" s="51" t="s">
        <v>80</v>
      </c>
      <c r="G41" s="86" t="s">
        <v>1161</v>
      </c>
    </row>
    <row r="42" customFormat="false" ht="15" hidden="false" customHeight="false" outlineLevel="0" collapsed="false">
      <c r="A42" s="6" t="s">
        <v>1162</v>
      </c>
      <c r="B42" s="53" t="s">
        <v>114</v>
      </c>
      <c r="C42" s="59" t="n">
        <v>5</v>
      </c>
      <c r="D42" s="59" t="n">
        <v>3</v>
      </c>
      <c r="E42" s="59" t="n">
        <v>6</v>
      </c>
      <c r="F42" s="51" t="s">
        <v>80</v>
      </c>
      <c r="G42" s="86"/>
    </row>
    <row r="44" customFormat="false" ht="15" hidden="false" customHeight="false" outlineLevel="0" collapsed="false">
      <c r="A44" s="68" t="s">
        <v>1163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9.85" hidden="false" customHeight="false" outlineLevel="0" collapsed="false">
      <c r="A45" s="76" t="s">
        <v>1164</v>
      </c>
      <c r="B45" s="76" t="s">
        <v>1165</v>
      </c>
      <c r="C45" s="76" t="s">
        <v>1166</v>
      </c>
      <c r="D45" s="76" t="s">
        <v>1167</v>
      </c>
      <c r="E45" s="76" t="s">
        <v>1168</v>
      </c>
      <c r="F45" s="76" t="s">
        <v>1169</v>
      </c>
      <c r="G45" s="76" t="s">
        <v>1170</v>
      </c>
      <c r="H45" s="76" t="s">
        <v>1171</v>
      </c>
      <c r="I45" s="76" t="s">
        <v>1172</v>
      </c>
      <c r="J45" s="76" t="s">
        <v>1173</v>
      </c>
      <c r="K45" s="76" t="s">
        <v>1174</v>
      </c>
      <c r="L45" s="76" t="s">
        <v>67</v>
      </c>
      <c r="M45" s="76" t="s">
        <v>430</v>
      </c>
      <c r="N45" s="76" t="s">
        <v>1175</v>
      </c>
    </row>
    <row r="46" customFormat="false" ht="15" hidden="false" customHeight="false" outlineLevel="0" collapsed="false">
      <c r="A46" s="129" t="s">
        <v>1176</v>
      </c>
      <c r="B46" s="129" t="s">
        <v>1177</v>
      </c>
      <c r="C46" s="98" t="s">
        <v>1178</v>
      </c>
      <c r="D46" s="98" t="s">
        <v>618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1179</v>
      </c>
      <c r="K46" s="129" t="s">
        <v>1180</v>
      </c>
      <c r="L46" s="129" t="s">
        <v>115</v>
      </c>
      <c r="M46" s="80" t="s">
        <v>1181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1182</v>
      </c>
      <c r="B47" s="129" t="s">
        <v>1177</v>
      </c>
      <c r="C47" s="98" t="s">
        <v>1178</v>
      </c>
      <c r="D47" s="98" t="s">
        <v>618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1179</v>
      </c>
      <c r="K47" s="129" t="s">
        <v>1180</v>
      </c>
      <c r="L47" s="129" t="s">
        <v>115</v>
      </c>
      <c r="M47" s="80" t="s">
        <v>1183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1184</v>
      </c>
      <c r="B48" s="129" t="s">
        <v>1177</v>
      </c>
      <c r="C48" s="98" t="s">
        <v>1178</v>
      </c>
      <c r="D48" s="98" t="s">
        <v>618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1185</v>
      </c>
      <c r="K48" s="129" t="s">
        <v>1180</v>
      </c>
      <c r="L48" s="129" t="s">
        <v>115</v>
      </c>
      <c r="M48" s="80" t="s">
        <v>1186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1187</v>
      </c>
      <c r="B49" s="129" t="s">
        <v>1188</v>
      </c>
      <c r="C49" s="98" t="s">
        <v>1178</v>
      </c>
      <c r="D49" s="98" t="s">
        <v>618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1185</v>
      </c>
      <c r="K49" s="129" t="s">
        <v>1189</v>
      </c>
      <c r="L49" s="129" t="s">
        <v>185</v>
      </c>
      <c r="M49" s="80" t="s">
        <v>1190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1191</v>
      </c>
      <c r="B50" s="129" t="s">
        <v>1188</v>
      </c>
      <c r="C50" s="98" t="s">
        <v>1178</v>
      </c>
      <c r="D50" s="98" t="s">
        <v>618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1185</v>
      </c>
      <c r="K50" s="129" t="s">
        <v>1192</v>
      </c>
      <c r="L50" s="129" t="s">
        <v>185</v>
      </c>
      <c r="M50" s="80" t="s">
        <v>1193</v>
      </c>
      <c r="N50" s="104" t="n">
        <f aca="false">IF($C50="中國",1,0)</f>
        <v>0</v>
      </c>
    </row>
    <row r="51" customFormat="false" ht="26.85" hidden="false" customHeight="false" outlineLevel="0" collapsed="false">
      <c r="A51" s="129" t="s">
        <v>1194</v>
      </c>
      <c r="B51" s="129" t="s">
        <v>1188</v>
      </c>
      <c r="C51" s="98" t="s">
        <v>1178</v>
      </c>
      <c r="D51" s="98" t="s">
        <v>618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1195</v>
      </c>
      <c r="K51" s="129" t="s">
        <v>1196</v>
      </c>
      <c r="L51" s="129" t="s">
        <v>185</v>
      </c>
      <c r="M51" s="80" t="s">
        <v>1197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1198</v>
      </c>
      <c r="B52" s="129" t="s">
        <v>1199</v>
      </c>
      <c r="C52" s="98" t="s">
        <v>1200</v>
      </c>
      <c r="D52" s="98" t="s">
        <v>590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1179</v>
      </c>
      <c r="K52" s="129" t="s">
        <v>1201</v>
      </c>
      <c r="L52" s="129" t="s">
        <v>115</v>
      </c>
      <c r="M52" s="80" t="s">
        <v>1202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1203</v>
      </c>
      <c r="B53" s="129" t="s">
        <v>1199</v>
      </c>
      <c r="C53" s="98" t="s">
        <v>1200</v>
      </c>
      <c r="D53" s="98" t="s">
        <v>590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1185</v>
      </c>
      <c r="K53" s="129" t="s">
        <v>1201</v>
      </c>
      <c r="L53" s="129" t="s">
        <v>115</v>
      </c>
      <c r="M53" s="80" t="s">
        <v>1204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1205</v>
      </c>
      <c r="B54" s="129" t="s">
        <v>1206</v>
      </c>
      <c r="C54" s="98" t="s">
        <v>1200</v>
      </c>
      <c r="D54" s="98" t="s">
        <v>1207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1179</v>
      </c>
      <c r="K54" s="129" t="s">
        <v>1201</v>
      </c>
      <c r="L54" s="129" t="s">
        <v>115</v>
      </c>
      <c r="M54" s="80" t="s">
        <v>1208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1209</v>
      </c>
      <c r="B55" s="129" t="s">
        <v>1206</v>
      </c>
      <c r="C55" s="98" t="s">
        <v>1200</v>
      </c>
      <c r="D55" s="98" t="s">
        <v>590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1185</v>
      </c>
      <c r="K55" s="129" t="s">
        <v>1201</v>
      </c>
      <c r="L55" s="129" t="s">
        <v>115</v>
      </c>
      <c r="M55" s="80" t="s">
        <v>1210</v>
      </c>
      <c r="N55" s="104" t="n">
        <f aca="false">IF($C55="中國",1,0)</f>
        <v>1</v>
      </c>
    </row>
    <row r="56" customFormat="false" ht="24.6" hidden="false" customHeight="false" outlineLevel="0" collapsed="false">
      <c r="A56" s="129" t="s">
        <v>1211</v>
      </c>
      <c r="B56" s="129" t="s">
        <v>1212</v>
      </c>
      <c r="C56" s="98" t="s">
        <v>1200</v>
      </c>
      <c r="D56" s="98" t="s">
        <v>1213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1185</v>
      </c>
      <c r="K56" s="129" t="s">
        <v>1189</v>
      </c>
      <c r="L56" s="129" t="s">
        <v>185</v>
      </c>
      <c r="M56" s="80" t="s">
        <v>1214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1215</v>
      </c>
      <c r="B57" s="129" t="s">
        <v>1216</v>
      </c>
      <c r="C57" s="98" t="s">
        <v>1200</v>
      </c>
      <c r="D57" s="98" t="s">
        <v>1217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1195</v>
      </c>
      <c r="K57" s="129" t="s">
        <v>1218</v>
      </c>
      <c r="L57" s="129" t="s">
        <v>185</v>
      </c>
      <c r="M57" s="80" t="s">
        <v>1219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1220</v>
      </c>
      <c r="B58" s="129" t="s">
        <v>1221</v>
      </c>
      <c r="C58" s="98" t="s">
        <v>1200</v>
      </c>
      <c r="D58" s="98" t="s">
        <v>618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1195</v>
      </c>
      <c r="K58" s="129" t="s">
        <v>1192</v>
      </c>
      <c r="L58" s="129" t="s">
        <v>185</v>
      </c>
      <c r="M58" s="80" t="s">
        <v>1222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1223</v>
      </c>
    </row>
    <row r="61" customFormat="false" ht="15" hidden="false" customHeight="false" outlineLevel="0" collapsed="false">
      <c r="A61" s="68" t="s">
        <v>1224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10" t="s">
        <v>336</v>
      </c>
      <c r="B62" s="10" t="s">
        <v>63</v>
      </c>
      <c r="C62" s="10" t="s">
        <v>303</v>
      </c>
      <c r="F62" s="10" t="s">
        <v>67</v>
      </c>
      <c r="G62" s="10" t="s">
        <v>304</v>
      </c>
    </row>
    <row r="63" customFormat="false" ht="52.2" hidden="false" customHeight="false" outlineLevel="0" collapsed="false">
      <c r="A63" s="5" t="s">
        <v>1225</v>
      </c>
      <c r="B63" s="54" t="s">
        <v>83</v>
      </c>
      <c r="C63" s="71" t="n">
        <v>1</v>
      </c>
      <c r="F63" s="51" t="s">
        <v>1226</v>
      </c>
      <c r="G63" s="86" t="s">
        <v>1227</v>
      </c>
    </row>
    <row r="64" customFormat="false" ht="39.55" hidden="false" customHeight="false" outlineLevel="0" collapsed="false">
      <c r="A64" s="5" t="s">
        <v>1228</v>
      </c>
      <c r="B64" s="54" t="s">
        <v>83</v>
      </c>
      <c r="C64" s="71" t="n">
        <v>1</v>
      </c>
      <c r="F64" s="51" t="s">
        <v>80</v>
      </c>
      <c r="G64" s="86" t="s">
        <v>1229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0" t="s">
        <v>1230</v>
      </c>
    </row>
    <row r="2" customFormat="false" ht="15" hidden="false" customHeight="false" outlineLevel="0" collapsed="false">
      <c r="A2" s="66" t="s">
        <v>1231</v>
      </c>
    </row>
    <row r="4" customFormat="false" ht="15" hidden="false" customHeight="false" outlineLevel="0" collapsed="false">
      <c r="A4" s="68" t="s">
        <v>1232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10" t="s">
        <v>336</v>
      </c>
      <c r="B5" s="10" t="s">
        <v>63</v>
      </c>
      <c r="C5" s="52" t="s">
        <v>227</v>
      </c>
      <c r="D5" s="52" t="s">
        <v>228</v>
      </c>
      <c r="E5" s="52" t="s">
        <v>229</v>
      </c>
      <c r="G5" s="10" t="s">
        <v>304</v>
      </c>
    </row>
    <row r="6" customFormat="false" ht="15" hidden="false" customHeight="false" outlineLevel="0" collapsed="false">
      <c r="A6" s="5" t="s">
        <v>1233</v>
      </c>
      <c r="B6" s="54" t="s">
        <v>280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1234</v>
      </c>
    </row>
    <row r="7" customFormat="false" ht="15" hidden="false" customHeight="false" outlineLevel="0" collapsed="false">
      <c r="A7" s="6" t="s">
        <v>1235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1236</v>
      </c>
      <c r="B8" s="53" t="s">
        <v>1237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1238</v>
      </c>
    </row>
    <row r="9" customFormat="false" ht="15" hidden="false" customHeight="false" outlineLevel="0" collapsed="false">
      <c r="A9" s="5" t="s">
        <v>1239</v>
      </c>
      <c r="B9" s="53" t="s">
        <v>1240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1241</v>
      </c>
    </row>
    <row r="10" customFormat="false" ht="15" hidden="false" customHeight="false" outlineLevel="0" collapsed="false">
      <c r="A10" s="5" t="s">
        <v>1242</v>
      </c>
      <c r="B10" s="54" t="s">
        <v>83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1243</v>
      </c>
    </row>
    <row r="11" customFormat="false" ht="15" hidden="false" customHeight="false" outlineLevel="0" collapsed="false">
      <c r="A11" s="5" t="s">
        <v>1244</v>
      </c>
      <c r="B11" s="54" t="s">
        <v>83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1245</v>
      </c>
    </row>
    <row r="13" customFormat="false" ht="15" hidden="false" customHeight="false" outlineLevel="0" collapsed="false">
      <c r="A13" s="68" t="s">
        <v>1246</v>
      </c>
      <c r="B13" s="62"/>
      <c r="C13" s="62"/>
      <c r="D13" s="62"/>
      <c r="E13" s="62"/>
      <c r="F13" s="62"/>
      <c r="G13" s="62"/>
    </row>
    <row r="14" customFormat="false" ht="26.85" hidden="false" customHeight="false" outlineLevel="0" collapsed="false">
      <c r="A14" s="53" t="s">
        <v>1247</v>
      </c>
      <c r="B14" s="54" t="s">
        <v>83</v>
      </c>
      <c r="C14" s="144" t="n">
        <f aca="false">Train_In!$C$47/E6</f>
        <v>4.96023652286263</v>
      </c>
      <c r="G14" s="86" t="s">
        <v>1248</v>
      </c>
    </row>
    <row r="16" customFormat="false" ht="15" hidden="false" customHeight="false" outlineLevel="0" collapsed="false">
      <c r="A16" s="68" t="s">
        <v>1249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1" t="s">
        <v>1250</v>
      </c>
    </row>
    <row r="18" customFormat="false" ht="15" hidden="false" customHeight="false" outlineLevel="0" collapsed="false">
      <c r="A18" s="51" t="s">
        <v>1251</v>
      </c>
    </row>
    <row r="19" customFormat="false" ht="15" hidden="false" customHeight="false" outlineLevel="0" collapsed="false">
      <c r="A19" s="51" t="s">
        <v>1252</v>
      </c>
    </row>
    <row r="20" customFormat="false" ht="15" hidden="false" customHeight="false" outlineLevel="0" collapsed="false">
      <c r="A20" s="51" t="s">
        <v>1253</v>
      </c>
    </row>
    <row r="21" customFormat="false" ht="15" hidden="false" customHeight="false" outlineLevel="0" collapsed="false">
      <c r="A21" s="51" t="s">
        <v>1254</v>
      </c>
    </row>
    <row r="22" customFormat="false" ht="15" hidden="false" customHeight="false" outlineLevel="0" collapsed="false">
      <c r="A22" s="51" t="s">
        <v>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0" t="s">
        <v>1256</v>
      </c>
    </row>
    <row r="2" customFormat="false" ht="15" hidden="false" customHeight="false" outlineLevel="0" collapsed="false">
      <c r="A2" s="66" t="s">
        <v>1257</v>
      </c>
    </row>
    <row r="4" customFormat="false" ht="15" hidden="false" customHeight="false" outlineLevel="0" collapsed="false">
      <c r="A4" s="68" t="s">
        <v>1258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1164</v>
      </c>
      <c r="B5" s="76" t="s">
        <v>1166</v>
      </c>
      <c r="C5" s="76" t="s">
        <v>1172</v>
      </c>
      <c r="D5" s="76" t="s">
        <v>1259</v>
      </c>
      <c r="E5" s="76" t="s">
        <v>1108</v>
      </c>
      <c r="F5" s="76" t="s">
        <v>1110</v>
      </c>
      <c r="G5" s="76" t="s">
        <v>1260</v>
      </c>
      <c r="H5" s="76" t="s">
        <v>1261</v>
      </c>
      <c r="I5" s="76" t="s">
        <v>1262</v>
      </c>
      <c r="J5" s="76" t="s">
        <v>1263</v>
      </c>
      <c r="K5" s="76" t="s">
        <v>1264</v>
      </c>
      <c r="L5" s="76" t="s">
        <v>1265</v>
      </c>
      <c r="M5" s="76" t="s">
        <v>1266</v>
      </c>
      <c r="N5" s="76" t="s">
        <v>1267</v>
      </c>
      <c r="O5" s="76" t="s">
        <v>1268</v>
      </c>
      <c r="P5" s="76" t="s">
        <v>1269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1270</v>
      </c>
    </row>
    <row r="21" customFormat="false" ht="15" hidden="false" customHeight="false" outlineLevel="0" collapsed="false">
      <c r="A21" s="68" t="s">
        <v>1271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10" t="s">
        <v>336</v>
      </c>
      <c r="B22" s="10" t="s">
        <v>63</v>
      </c>
      <c r="C22" s="52" t="s">
        <v>227</v>
      </c>
      <c r="D22" s="52" t="s">
        <v>228</v>
      </c>
      <c r="E22" s="52" t="s">
        <v>229</v>
      </c>
    </row>
    <row r="23" customFormat="false" ht="29.85" hidden="false" customHeight="false" outlineLevel="0" collapsed="false">
      <c r="A23" s="5" t="s">
        <v>1272</v>
      </c>
      <c r="B23" s="53" t="s">
        <v>1237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9.85" hidden="false" customHeight="false" outlineLevel="0" collapsed="false">
      <c r="A24" s="6" t="s">
        <v>1273</v>
      </c>
      <c r="B24" s="54" t="s">
        <v>774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1274</v>
      </c>
      <c r="B25" s="54" t="s">
        <v>774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1275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1276</v>
      </c>
      <c r="B27" s="54" t="s">
        <v>774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1277</v>
      </c>
      <c r="B28" s="54" t="s">
        <v>774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1278</v>
      </c>
      <c r="B29" s="54" t="s">
        <v>774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1279</v>
      </c>
      <c r="B30" s="54" t="s">
        <v>83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9.85" hidden="false" customHeight="false" outlineLevel="0" collapsed="false">
      <c r="A31" s="5" t="s">
        <v>1280</v>
      </c>
      <c r="B31" s="54" t="s">
        <v>774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1281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1282</v>
      </c>
      <c r="B33" s="54" t="s">
        <v>83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9.85" hidden="false" customHeight="false" outlineLevel="0" collapsed="false">
      <c r="A34" s="5" t="s">
        <v>1283</v>
      </c>
      <c r="B34" s="53" t="s">
        <v>295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44" hidden="false" customHeight="false" outlineLevel="0" collapsed="false">
      <c r="A37" s="6" t="s">
        <v>1285</v>
      </c>
      <c r="B37" s="54" t="s">
        <v>83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9.85" hidden="false" customHeight="false" outlineLevel="0" collapsed="false">
      <c r="A38" s="5" t="s">
        <v>1286</v>
      </c>
      <c r="B38" s="54" t="s">
        <v>83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1287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1288</v>
      </c>
      <c r="B41" s="54" t="s">
        <v>774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1289</v>
      </c>
      <c r="B42" s="54" t="s">
        <v>774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1290</v>
      </c>
      <c r="B43" s="54" t="s">
        <v>774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1291</v>
      </c>
      <c r="B44" s="54" t="s">
        <v>774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9.85" hidden="false" customHeight="false" outlineLevel="0" collapsed="false">
      <c r="A45" s="5" t="s">
        <v>1292</v>
      </c>
      <c r="B45" s="54" t="s">
        <v>774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1293</v>
      </c>
      <c r="B46" s="54" t="s">
        <v>774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1294</v>
      </c>
    </row>
    <row r="2" customFormat="false" ht="15" hidden="false" customHeight="false" outlineLevel="0" collapsed="false">
      <c r="A2" s="66" t="s">
        <v>1295</v>
      </c>
    </row>
    <row r="4" customFormat="false" ht="15" hidden="false" customHeight="false" outlineLevel="0" collapsed="false">
      <c r="A4" s="10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1297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1298</v>
      </c>
      <c r="B10" s="54" t="s">
        <v>1299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1300</v>
      </c>
      <c r="B11" s="54" t="s">
        <v>1299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1301</v>
      </c>
      <c r="B12" s="54" t="s">
        <v>1299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1302</v>
      </c>
      <c r="B13" s="54" t="s">
        <v>1299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1303</v>
      </c>
      <c r="B16" s="54" t="s">
        <v>236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1304</v>
      </c>
      <c r="B17" s="54" t="s">
        <v>774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1305</v>
      </c>
      <c r="B18" s="54" t="s">
        <v>83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1306</v>
      </c>
      <c r="B19" s="54" t="s">
        <v>79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1303</v>
      </c>
      <c r="B22" s="54" t="s">
        <v>236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1307</v>
      </c>
      <c r="B23" s="54" t="s">
        <v>774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1305</v>
      </c>
      <c r="B24" s="54" t="s">
        <v>83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1306</v>
      </c>
      <c r="B25" s="54" t="s">
        <v>79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1303</v>
      </c>
      <c r="B28" s="54" t="s">
        <v>236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1308</v>
      </c>
      <c r="B29" s="54" t="s">
        <v>774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1305</v>
      </c>
      <c r="B30" s="54" t="s">
        <v>83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1306</v>
      </c>
      <c r="B31" s="54" t="s">
        <v>79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1309</v>
      </c>
    </row>
    <row r="2" customFormat="false" ht="15" hidden="false" customHeight="false" outlineLevel="0" collapsed="false">
      <c r="A2" s="66" t="s">
        <v>1310</v>
      </c>
    </row>
    <row r="4" customFormat="false" ht="15" hidden="false" customHeight="false" outlineLevel="0" collapsed="false">
      <c r="A4" s="10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1311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1312</v>
      </c>
      <c r="B10" s="54" t="s">
        <v>71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1313</v>
      </c>
      <c r="B11" s="54" t="s">
        <v>71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1314</v>
      </c>
      <c r="B12" s="54" t="s">
        <v>71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1315</v>
      </c>
      <c r="B13" s="54" t="s">
        <v>71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1316</v>
      </c>
      <c r="B14" s="54" t="s">
        <v>71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1317</v>
      </c>
      <c r="B15" s="54" t="s">
        <v>71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1319</v>
      </c>
      <c r="B18" s="53" t="s">
        <v>1320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1321</v>
      </c>
      <c r="B19" s="54" t="s">
        <v>766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1322</v>
      </c>
      <c r="B20" s="54" t="s">
        <v>766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1323</v>
      </c>
      <c r="B21" s="54" t="s">
        <v>766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1324</v>
      </c>
      <c r="B22" s="54" t="s">
        <v>766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1325</v>
      </c>
      <c r="B23" s="54" t="s">
        <v>71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1326</v>
      </c>
      <c r="B24" s="54" t="s">
        <v>766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1327</v>
      </c>
      <c r="B25" s="54" t="s">
        <v>766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1328</v>
      </c>
      <c r="B26" s="54" t="s">
        <v>71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1329</v>
      </c>
      <c r="B27" s="54" t="s">
        <v>766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1330</v>
      </c>
      <c r="B28" s="54" t="s">
        <v>766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1331</v>
      </c>
      <c r="B29" s="54" t="s">
        <v>71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1332</v>
      </c>
      <c r="B30" s="54" t="s">
        <v>71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1334</v>
      </c>
      <c r="B33" s="54" t="s">
        <v>79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0.0486433041379322</v>
      </c>
      <c r="M33" s="95" t="n">
        <f aca="false">INDEX(IF_ProgGWyr_Luna,1,M$7)+INDEX(IF_ProgGWyr_Sol,1,M$7)+INDEX(IF_ProgGWyr_Astra,1,M$7)</f>
        <v>0.0486433041379322</v>
      </c>
      <c r="N33" s="95" t="n">
        <f aca="false">INDEX(IF_ProgGWyr_Luna,1,N$7)+INDEX(IF_ProgGWyr_Sol,1,N$7)+INDEX(IF_ProgGWyr_Astra,1,N$7)</f>
        <v>0.0486433041379322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1335</v>
      </c>
      <c r="B34" s="53" t="s">
        <v>295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12.1291102743968</v>
      </c>
      <c r="M34" s="81" t="n">
        <f aca="false">M13/M33</f>
        <v>12.1291102743968</v>
      </c>
      <c r="N34" s="81" t="n">
        <f aca="false">N13/N33</f>
        <v>12.1291102743968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1337</v>
      </c>
    </row>
    <row r="2" customFormat="false" ht="15" hidden="false" customHeight="false" outlineLevel="0" collapsed="false">
      <c r="A2" s="66" t="s">
        <v>1338</v>
      </c>
    </row>
    <row r="4" customFormat="false" ht="15" hidden="false" customHeight="false" outlineLevel="0" collapsed="false">
      <c r="A4" s="10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1339</v>
      </c>
      <c r="B10" s="54" t="s">
        <v>844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21.6833853771364</v>
      </c>
      <c r="M10" s="67" t="n">
        <f aca="false">INDEX(IF_ProgCost_Luna,1,M$7)</f>
        <v>28.1318177760473</v>
      </c>
      <c r="N10" s="67" t="n">
        <f aca="false">INDEX(IF_ProgCost_Luna,1,N$7)</f>
        <v>45.5815330243681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1340</v>
      </c>
      <c r="B11" s="54" t="s">
        <v>766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1341</v>
      </c>
      <c r="B12" s="54" t="s">
        <v>1342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1343</v>
      </c>
      <c r="B13" s="54" t="s">
        <v>774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0.000292417363804563</v>
      </c>
      <c r="M13" s="147" t="n">
        <f aca="false">IF(ISNUMBER(M12),IF(M12&gt;0,M10*1000000/M12,0),"SLO 不可達")</f>
        <v>0.000379379504169864</v>
      </c>
      <c r="N13" s="147" t="n">
        <f aca="false">IF(ISNUMBER(N12),IF(N12&gt;0,N10*1000000/N12,0),"SLO 不可達")</f>
        <v>0.00061470252422902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1344</v>
      </c>
      <c r="B14" s="54" t="s">
        <v>774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1345</v>
      </c>
      <c r="B15" s="54" t="s">
        <v>774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1346</v>
      </c>
      <c r="B16" s="54" t="s">
        <v>83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88.9534646499752</v>
      </c>
      <c r="M16" s="67" t="n">
        <f aca="false">IF(AND(ISNUMBER(M13),ISNUMBER(M15)),IF(M13&gt;0,M15/M13,0),"SLO 不可達")</f>
        <v>88.9412453385331</v>
      </c>
      <c r="N16" s="67" t="n">
        <f aca="false">IF(AND(ISNUMBER(N13),ISNUMBER(N15)),IF(N13&gt;0,N15/N13,0),"SLO 不可達")</f>
        <v>88.9255156874864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1339</v>
      </c>
      <c r="B19" s="54" t="s">
        <v>844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63.1625163853911</v>
      </c>
      <c r="M19" s="67" t="n">
        <f aca="false">INDEX(IF_ProgCost_Sol,1,M$7)</f>
        <v>81.946447490806</v>
      </c>
      <c r="N19" s="67" t="n">
        <f aca="false">INDEX(IF_ProgCost_Sol,1,N$7)</f>
        <v>132.776514204218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1340</v>
      </c>
      <c r="B20" s="54" t="s">
        <v>766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1341</v>
      </c>
      <c r="B21" s="54" t="s">
        <v>1342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1347</v>
      </c>
      <c r="B22" s="54" t="s">
        <v>774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0.00344822951444708</v>
      </c>
      <c r="M22" s="147" t="n">
        <f aca="false">IF(ISNUMBER(M21),IF(M21&gt;0,M19*1000000/M21,0),"SLO 不可達")</f>
        <v>0.00447370014705813</v>
      </c>
      <c r="N22" s="147" t="n">
        <f aca="false">IF(ISNUMBER(N21),IF(N21&gt;0,N19*1000000/N21,0),"SLO 不可達")</f>
        <v>0.00724866457680086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1344</v>
      </c>
      <c r="B23" s="54" t="s">
        <v>774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1348</v>
      </c>
      <c r="B24" s="54" t="s">
        <v>774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1346</v>
      </c>
      <c r="B25" s="54" t="s">
        <v>83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24.2563224135404</v>
      </c>
      <c r="M25" s="67" t="n">
        <f aca="false">IF(AND(ISNUMBER(M22),ISNUMBER(M24)),IF(M22&gt;0,M24/M22,0),"SLO 不可達")</f>
        <v>24.2548524210832</v>
      </c>
      <c r="N25" s="67" t="n">
        <f aca="false">IF(AND(ISNUMBER(N22),ISNUMBER(N24)),IF(N22&gt;0,N24/N22,0),"SLO 不可達")</f>
        <v>24.2529601321026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9.85" hidden="false" customHeight="false" outlineLevel="0" collapsed="false">
      <c r="A26" s="5" t="s">
        <v>1349</v>
      </c>
      <c r="B26" s="54" t="s">
        <v>79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0.00225853411955808</v>
      </c>
      <c r="M26" s="150" t="n">
        <f aca="false">IF(ISNUMBER(M22),M22/(INDEX(B4_EffRef,1,2)-INDEX(B4_EffRef,1,1)),"SLO 不可達")</f>
        <v>0.00293020066688425</v>
      </c>
      <c r="N26" s="150" t="n">
        <f aca="false">IF(ISNUMBER(N22),N22/(INDEX(B4_EffRef,1,2)-INDEX(B4_EffRef,1,1)),"SLO 不可達")</f>
        <v>0.00474775713140485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1339</v>
      </c>
      <c r="B29" s="54" t="s">
        <v>844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393.64274455353</v>
      </c>
      <c r="M29" s="67" t="n">
        <f aca="false">INDEX(IF_ProgCost_Astra,1,M$7)</f>
        <v>510.708349551341</v>
      </c>
      <c r="N29" s="67" t="n">
        <f aca="false">INDEX(IF_ProgCost_Astra,1,N$7)</f>
        <v>827.492545494721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1340</v>
      </c>
      <c r="B30" s="54" t="s">
        <v>766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1341</v>
      </c>
      <c r="B31" s="54" t="s">
        <v>1342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1350</v>
      </c>
      <c r="B32" s="54" t="s">
        <v>774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0.140804062409482</v>
      </c>
      <c r="M32" s="147" t="n">
        <f aca="false">IF(ISNUMBER(M31),IF(M31&gt;0,M29*1000000/M31,0),"SLO 不可達")</f>
        <v>0.182677850203567</v>
      </c>
      <c r="N32" s="147" t="n">
        <f aca="false">IF(ISNUMBER(N31),IF(N31&gt;0,N29*1000000/N31,0),"SLO 不可達")</f>
        <v>0.295989989987929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1344</v>
      </c>
      <c r="B33" s="54" t="s">
        <v>774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1351</v>
      </c>
      <c r="B34" s="54" t="s">
        <v>774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1346</v>
      </c>
      <c r="B35" s="54" t="s">
        <v>83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2.90842708393901</v>
      </c>
      <c r="M35" s="67" t="n">
        <f aca="false">IF(AND(ISNUMBER(M32),ISNUMBER(M34)),IF(M32&gt;0,M34/M32,0),"SLO 不可達")</f>
        <v>2.90790411562317</v>
      </c>
      <c r="N35" s="67" t="n">
        <f aca="false">IF(AND(ISNUMBER(N32),ISNUMBER(N34)),IF(N32&gt;0,N34/N32,0),"SLO 不可達")</f>
        <v>2.90723091000471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9.85" hidden="false" customHeight="false" outlineLevel="0" collapsed="false">
      <c r="A36" s="5" t="s">
        <v>1349</v>
      </c>
      <c r="B36" s="54" t="s">
        <v>79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0.0219032868101034</v>
      </c>
      <c r="M36" s="150" t="n">
        <f aca="false">IF(ISNUMBER(M32),M32/(INDEX(B4_EffRef,1,3)-INDEX(B4_EffRef,1,2)),"SLO 不可達")</f>
        <v>0.0284171158018547</v>
      </c>
      <c r="N36" s="150" t="n">
        <f aca="false">IF(ISNUMBER(N32),N32/(INDEX(B4_EffRef,1,3)-INDEX(B4_EffRef,1,2)),"SLO 不可達")</f>
        <v>0.0460437968385537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1352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1353</v>
      </c>
      <c r="B39" s="54" t="s">
        <v>1354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1355</v>
      </c>
      <c r="B40" s="54" t="s">
        <v>1354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609.702894500567</v>
      </c>
      <c r="M40" s="67" t="n">
        <f aca="false">M10*12/INDEX(B4_Life,1,1)+M19*12/INDEX(B4_Life,1,2)+M29*12/INDEX(B4_Life,1,3)</f>
        <v>791.022731335308</v>
      </c>
      <c r="N40" s="67" t="n">
        <f aca="false">N10*12/INDEX(B4_Life,1,1)+N19*12/INDEX(B4_Life,1,2)+N29*12/INDEX(B4_Life,1,3)</f>
        <v>1281.68144122155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1356</v>
      </c>
      <c r="B41" s="54" t="s">
        <v>83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8.18006762702177</v>
      </c>
      <c r="M41" s="97" t="n">
        <f aca="false">IF(ISNUMBER(M39),IF(M40&gt;0,M39/M40,0),"SLO 不可達")</f>
        <v>8.17903058415228</v>
      </c>
      <c r="N41" s="97" t="n">
        <f aca="false">IF(ISNUMBER(N39),IF(N40&gt;0,N39/N40,0),"SLO 不可達")</f>
        <v>8.17769562165992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1357</v>
      </c>
      <c r="B42" s="54" t="s">
        <v>1354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1358</v>
      </c>
      <c r="B43" s="54" t="s">
        <v>774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0.00239199381123676</v>
      </c>
      <c r="M43" s="147" t="n">
        <f aca="false">IF(AND(ISNUMBER(M13),ISNUMBER(M41)),M13*M41,"SLO 不可達")</f>
        <v>0.00310295656760584</v>
      </c>
      <c r="N43" s="147" t="n">
        <f aca="false">IF(AND(ISNUMBER(N13),ISNUMBER(N41)),N13*N41,"SLO 不可達")</f>
        <v>0.00502685014101096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6.85" hidden="false" customHeight="false" outlineLevel="0" collapsed="false">
      <c r="A44" s="6" t="s">
        <v>1359</v>
      </c>
      <c r="B44" s="54" t="s">
        <v>774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9.85" hidden="false" customHeight="false" outlineLevel="0" collapsed="false">
      <c r="A45" s="6" t="s">
        <v>1360</v>
      </c>
      <c r="B45" s="54" t="s">
        <v>774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0.0282067506216696</v>
      </c>
      <c r="M45" s="147" t="n">
        <f aca="false">IF(AND(ISNUMBER(M22),ISNUMBER(M41)),M22*M41,"SLO 不可達")</f>
        <v>0.0365905303271149</v>
      </c>
      <c r="N45" s="147" t="n">
        <f aca="false">IF(AND(ISNUMBER(N22),ISNUMBER(N41)),N22*N41,"SLO 不可達")</f>
        <v>0.0592773725725857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6.85" hidden="false" customHeight="false" outlineLevel="0" collapsed="false">
      <c r="A46" s="6" t="s">
        <v>1361</v>
      </c>
      <c r="B46" s="54" t="s">
        <v>774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9.85" hidden="false" customHeight="false" outlineLevel="0" collapsed="false">
      <c r="A47" s="6" t="s">
        <v>1362</v>
      </c>
      <c r="B47" s="54" t="s">
        <v>774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1.15178675266896</v>
      </c>
      <c r="M47" s="147" t="n">
        <f aca="false">IF(AND(ISNUMBER(M32),ISNUMBER(M41)),M32*M41,"SLO 不可達")</f>
        <v>1.49412772386216</v>
      </c>
      <c r="N47" s="147" t="n">
        <f aca="false">IF(AND(ISNUMBER(N32),ISNUMBER(N41)),N32*N41,"SLO 不可達")</f>
        <v>2.42051604517945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6.85" hidden="false" customHeight="false" outlineLevel="0" collapsed="false">
      <c r="A48" s="6" t="s">
        <v>1363</v>
      </c>
      <c r="B48" s="54" t="s">
        <v>774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1364</v>
      </c>
      <c r="B49" s="54" t="s">
        <v>79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0" t="s">
        <v>1366</v>
      </c>
    </row>
    <row r="2" customFormat="false" ht="15" hidden="false" customHeight="false" outlineLevel="0" collapsed="false">
      <c r="A2" s="51" t="s">
        <v>1367</v>
      </c>
    </row>
    <row r="4" customFormat="false" ht="15" hidden="false" customHeight="false" outlineLevel="0" collapsed="false">
      <c r="A4" s="10" t="s">
        <v>144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10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10" t="s">
        <v>419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10" t="s">
        <v>1296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1369</v>
      </c>
      <c r="B10" s="54" t="s">
        <v>766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1370</v>
      </c>
      <c r="B11" s="54" t="s">
        <v>1371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1372</v>
      </c>
      <c r="B12" s="54" t="s">
        <v>1371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1373</v>
      </c>
      <c r="B13" s="54" t="s">
        <v>1371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1374</v>
      </c>
      <c r="B14" s="54" t="s">
        <v>1371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1375</v>
      </c>
      <c r="B15" s="54" t="s">
        <v>83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1376</v>
      </c>
      <c r="B16" s="54" t="s">
        <v>83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1377</v>
      </c>
      <c r="B17" s="54" t="s">
        <v>774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1378</v>
      </c>
      <c r="B18" s="54" t="s">
        <v>774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0.018368231651997</v>
      </c>
      <c r="M18" s="149" t="n">
        <f aca="false">IF(AND(ISNUMBER(M17),ISNUMBER(Amortize!M13)),M17+Amortize!M13,"SLO 不可達")</f>
        <v>0.0238275474334597</v>
      </c>
      <c r="N18" s="149" t="n">
        <f aca="false">IF(AND(ISNUMBER(N17),ISNUMBER(Amortize!N13)),N17+Amortize!N13,"SLO 不可達")</f>
        <v>0.0386006736669421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1379</v>
      </c>
      <c r="B19" s="54" t="s">
        <v>774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6.85" hidden="false" customHeight="false" outlineLevel="0" collapsed="false">
      <c r="A20" s="5" t="s">
        <v>1380</v>
      </c>
      <c r="B20" s="54" t="s">
        <v>774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0.0204678080994292</v>
      </c>
      <c r="M20" s="149" t="n">
        <f aca="false">IF(AND(ISNUMBER(M17),ISNUMBER(Amortize!M43)),M17+Amortize!M43,"SLO 不可達")</f>
        <v>0.0265511244968956</v>
      </c>
      <c r="N20" s="149" t="n">
        <f aca="false">IF(AND(ISNUMBER(N17),ISNUMBER(Amortize!N43)),N17+Amortize!N43,"SLO 不可達")</f>
        <v>0.043012821283724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9.85" hidden="false" customHeight="false" outlineLevel="0" collapsed="false">
      <c r="A21" s="5" t="s">
        <v>1381</v>
      </c>
      <c r="B21" s="54" t="s">
        <v>79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1382</v>
      </c>
      <c r="B22" s="54" t="s">
        <v>79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0.771413046366188</v>
      </c>
      <c r="M22" s="78" t="n">
        <f aca="false">IF(ISNUMBER(M18),1-M18/INDEX(B4_EffRef,1,1),"SLO 不可達")</f>
        <v>0.703473552404401</v>
      </c>
      <c r="N22" s="78" t="n">
        <f aca="false">IF(ISNUMBER(N18),1-N18/INDEX(B4_EffRef,1,1),"SLO 不可達")</f>
        <v>0.519626572175776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1383</v>
      </c>
      <c r="B23" s="54" t="s">
        <v>79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1384</v>
      </c>
      <c r="B24" s="54" t="s">
        <v>79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0.745284467789183</v>
      </c>
      <c r="M24" s="111" t="n">
        <f aca="false">IF(ISNUMBER(M20),1-M20/INDEX(B4_EffRef,1,1),"SLO 不可達")</f>
        <v>0.669579479435757</v>
      </c>
      <c r="N24" s="111" t="n">
        <f aca="false">IF(ISNUMBER(N20),1-N20/INDEX(B4_EffRef,1,1),"SLO 不可達")</f>
        <v>0.46471876167932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1385</v>
      </c>
      <c r="B25" s="54" t="s">
        <v>79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1386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1369</v>
      </c>
      <c r="B28" s="54" t="s">
        <v>766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1387</v>
      </c>
      <c r="B29" s="54" t="s">
        <v>1371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1388</v>
      </c>
      <c r="B30" s="54" t="s">
        <v>1371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1373</v>
      </c>
      <c r="B31" s="54" t="s">
        <v>1371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1374</v>
      </c>
      <c r="B32" s="54" t="s">
        <v>1371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1375</v>
      </c>
      <c r="B33" s="54" t="s">
        <v>83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1376</v>
      </c>
      <c r="B34" s="54" t="s">
        <v>83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1377</v>
      </c>
      <c r="B35" s="54" t="s">
        <v>774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1389</v>
      </c>
      <c r="B36" s="54" t="s">
        <v>774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0.0615718912295467</v>
      </c>
      <c r="M36" s="149" t="n">
        <f aca="false">IF(AND(ISNUMBER(M35),ISNUMBER(Amortize!M22)),M35+Amortize!M22,"SLO 不可達")</f>
        <v>0.0798782155803801</v>
      </c>
      <c r="N36" s="149" t="n">
        <f aca="false">IF(AND(ISNUMBER(N35),ISNUMBER(Amortize!N22)),N35+Amortize!N22,"SLO 不可達")</f>
        <v>0.129415859367946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1379</v>
      </c>
      <c r="B37" s="54" t="s">
        <v>774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6.85" hidden="false" customHeight="false" outlineLevel="0" collapsed="false">
      <c r="A38" s="5" t="s">
        <v>1390</v>
      </c>
      <c r="B38" s="54" t="s">
        <v>774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0.0863304123367692</v>
      </c>
      <c r="M38" s="149" t="n">
        <f aca="false">IF(AND(ISNUMBER(M35),ISNUMBER(Amortize!M45)),M35+Amortize!M45,"SLO 不可達")</f>
        <v>0.111995045760437</v>
      </c>
      <c r="N38" s="149" t="n">
        <f aca="false">IF(AND(ISNUMBER(N35),ISNUMBER(Amortize!N45)),N35+Amortize!N45,"SLO 不可達")</f>
        <v>0.181444567363731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9.85" hidden="false" customHeight="false" outlineLevel="0" collapsed="false">
      <c r="A39" s="5" t="s">
        <v>1381</v>
      </c>
      <c r="B39" s="54" t="s">
        <v>79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1382</v>
      </c>
      <c r="B40" s="54" t="s">
        <v>79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0.961687844229403</v>
      </c>
      <c r="M40" s="78" t="n">
        <f aca="false">IF(ISNUMBER(M36),1-M36/INDEX(B4_EffRef,1,2),"SLO 不可達")</f>
        <v>0.95029701740712</v>
      </c>
      <c r="N40" s="78" t="n">
        <f aca="false">IF(ISNUMBER(N36),1-N36/INDEX(B4_EffRef,1,2),"SLO 不可達")</f>
        <v>0.919472985736206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1383</v>
      </c>
      <c r="B41" s="54" t="s">
        <v>79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1384</v>
      </c>
      <c r="B42" s="54" t="s">
        <v>79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0.946282237898858</v>
      </c>
      <c r="M42" s="111" t="n">
        <f aca="false">IF(ISNUMBER(M38),1-M38/INDEX(B4_EffRef,1,2),"SLO 不可達")</f>
        <v>0.930312817212118</v>
      </c>
      <c r="N42" s="111" t="n">
        <f aca="false">IF(ISNUMBER(N38),1-N38/INDEX(B4_EffRef,1,2),"SLO 不可達")</f>
        <v>0.887098927940157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1385</v>
      </c>
      <c r="B43" s="54" t="s">
        <v>79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1391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1369</v>
      </c>
      <c r="B46" s="54" t="s">
        <v>766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1392</v>
      </c>
      <c r="B47" s="54" t="s">
        <v>1371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1393</v>
      </c>
      <c r="B48" s="54" t="s">
        <v>1371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1373</v>
      </c>
      <c r="B49" s="54" t="s">
        <v>1371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1374</v>
      </c>
      <c r="B50" s="54" t="s">
        <v>1371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1375</v>
      </c>
      <c r="B51" s="54" t="s">
        <v>83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1376</v>
      </c>
      <c r="B52" s="54" t="s">
        <v>83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1377</v>
      </c>
      <c r="B53" s="54" t="s">
        <v>774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1394</v>
      </c>
      <c r="B54" s="54" t="s">
        <v>774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0.425384609769744</v>
      </c>
      <c r="M54" s="149" t="n">
        <f aca="false">IF(AND(ISNUMBER(M53),ISNUMBER(Amortize!M32)),M53+Amortize!M32,"SLO 不可達")</f>
        <v>0.551823554780618</v>
      </c>
      <c r="N54" s="149" t="n">
        <f aca="false">IF(AND(ISNUMBER(N53),ISNUMBER(Amortize!N32)),N53+Amortize!N32,"SLO 不可達")</f>
        <v>0.8939723826276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1379</v>
      </c>
      <c r="B55" s="54" t="s">
        <v>774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6.85" hidden="false" customHeight="false" outlineLevel="0" collapsed="false">
      <c r="A56" s="5" t="s">
        <v>1395</v>
      </c>
      <c r="B56" s="54" t="s">
        <v>774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1.43636730002922</v>
      </c>
      <c r="M56" s="149" t="n">
        <f aca="false">IF(AND(ISNUMBER(M53),ISNUMBER(Amortize!M47)),M53+Amortize!M47,"SLO 不可達")</f>
        <v>1.86327342843922</v>
      </c>
      <c r="N56" s="149" t="n">
        <f aca="false">IF(AND(ISNUMBER(N53),ISNUMBER(Amortize!N47)),N53+Amortize!N47,"SLO 不可達")</f>
        <v>3.01849843781912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9.85" hidden="false" customHeight="false" outlineLevel="0" collapsed="false">
      <c r="A57" s="5" t="s">
        <v>1381</v>
      </c>
      <c r="B57" s="54" t="s">
        <v>79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1382</v>
      </c>
      <c r="B58" s="54" t="s">
        <v>79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0.947062202877106</v>
      </c>
      <c r="M58" s="78" t="n">
        <f aca="false">IF(ISNUMBER(M54),1-M54/INDEX(B4_EffRef,1,3),"SLO 不可達")</f>
        <v>0.931327267795554</v>
      </c>
      <c r="N58" s="78" t="n">
        <f aca="false">IF(ISNUMBER(N54),1-N54/INDEX(B4_EffRef,1,3),"SLO 不可達")</f>
        <v>0.888747905923003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1383</v>
      </c>
      <c r="B59" s="54" t="s">
        <v>79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1384</v>
      </c>
      <c r="B60" s="54" t="s">
        <v>79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0.821248538436629</v>
      </c>
      <c r="M60" s="111" t="n">
        <f aca="false">IF(ISNUMBER(M56),1-M56/INDEX(B4_EffRef,1,3),"SLO 不可達")</f>
        <v>0.768121393031624</v>
      </c>
      <c r="N60" s="111" t="n">
        <f aca="false">IF(ISNUMBER(N56),1-N56/INDEX(B4_EffRef,1,3),"SLO 不可達")</f>
        <v>0.624357218744855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1385</v>
      </c>
      <c r="B61" s="54" t="s">
        <v>79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1396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6.85" hidden="false" customHeight="false" outlineLevel="0" collapsed="false">
      <c r="A64" s="6" t="s">
        <v>1397</v>
      </c>
      <c r="B64" s="54" t="s">
        <v>1371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1398</v>
      </c>
      <c r="B65" s="54" t="s">
        <v>1371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1399</v>
      </c>
      <c r="B66" s="54" t="s">
        <v>1371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1400</v>
      </c>
      <c r="B67" s="54" t="s">
        <v>1371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1401</v>
      </c>
      <c r="B68" s="54" t="s">
        <v>1371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1402</v>
      </c>
      <c r="B69" s="54" t="s">
        <v>1371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1403</v>
      </c>
      <c r="B70" s="54" t="s">
        <v>1371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1404</v>
      </c>
      <c r="B71" s="54" t="s">
        <v>1371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1405</v>
      </c>
      <c r="B72" s="54" t="s">
        <v>1371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1406</v>
      </c>
      <c r="B73" s="54" t="s">
        <v>83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1407</v>
      </c>
      <c r="B74" s="54" t="s">
        <v>774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1408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10" t="s">
        <v>1409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1410</v>
      </c>
      <c r="B78" s="54" t="s">
        <v>402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1411</v>
      </c>
      <c r="B79" s="54" t="s">
        <v>402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1412</v>
      </c>
      <c r="B80" s="54" t="s">
        <v>402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1413</v>
      </c>
      <c r="B81" s="54" t="s">
        <v>83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1414</v>
      </c>
      <c r="B82" s="54" t="s">
        <v>83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1415</v>
      </c>
      <c r="B83" s="54" t="s">
        <v>83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1416</v>
      </c>
      <c r="B84" s="54" t="s">
        <v>83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1417</v>
      </c>
      <c r="B85" s="54" t="s">
        <v>83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1418</v>
      </c>
      <c r="B86" s="54" t="s">
        <v>83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1419</v>
      </c>
    </row>
    <row r="89" customFormat="false" ht="15" hidden="false" customHeight="false" outlineLevel="0" collapsed="false">
      <c r="A89" s="68" t="s">
        <v>1420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1421</v>
      </c>
      <c r="B90" s="54" t="s">
        <v>1371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1422</v>
      </c>
      <c r="B91" s="54" t="s">
        <v>1371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1423</v>
      </c>
      <c r="B92" s="54" t="s">
        <v>1371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1424</v>
      </c>
      <c r="B93" s="54" t="s">
        <v>1371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10" t="s">
        <v>1425</v>
      </c>
    </row>
    <row r="96" customFormat="false" ht="15" hidden="false" customHeight="false" outlineLevel="0" collapsed="false">
      <c r="A96" s="51" t="s">
        <v>1426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1" t="s">
        <v>1427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1" t="s">
        <v>1428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1" t="s">
        <v>1429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0" t="s">
        <v>1430</v>
      </c>
    </row>
    <row r="2" customFormat="false" ht="15" hidden="false" customHeight="false" outlineLevel="0" collapsed="false">
      <c r="A2" s="66" t="s">
        <v>1431</v>
      </c>
    </row>
    <row r="4" customFormat="false" ht="29.85" hidden="false" customHeight="false" outlineLevel="0" collapsed="false">
      <c r="A4" s="76" t="s">
        <v>1432</v>
      </c>
      <c r="B4" s="76" t="s">
        <v>303</v>
      </c>
      <c r="C4" s="77" t="s">
        <v>1433</v>
      </c>
      <c r="D4" s="76" t="s">
        <v>1434</v>
      </c>
      <c r="E4" s="76" t="s">
        <v>1435</v>
      </c>
      <c r="F4" s="76" t="s">
        <v>1434</v>
      </c>
      <c r="G4" s="76" t="s">
        <v>304</v>
      </c>
    </row>
    <row r="5" customFormat="false" ht="15" hidden="false" customHeight="false" outlineLevel="0" collapsed="false">
      <c r="A5" s="53" t="s">
        <v>65</v>
      </c>
      <c r="B5" s="104" t="s">
        <v>587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1436</v>
      </c>
    </row>
    <row r="6" customFormat="false" ht="15" hidden="false" customHeight="false" outlineLevel="0" collapsed="false">
      <c r="A6" s="53" t="s">
        <v>1437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1438</v>
      </c>
    </row>
    <row r="7" customFormat="false" ht="15" hidden="false" customHeight="false" outlineLevel="0" collapsed="false">
      <c r="A7" s="53" t="s">
        <v>1439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1440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1441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1442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587</v>
      </c>
      <c r="F10" s="54" t="s">
        <v>587</v>
      </c>
      <c r="G10" s="86" t="s">
        <v>1443</v>
      </c>
    </row>
    <row r="11" customFormat="false" ht="15" hidden="false" customHeight="false" outlineLevel="0" collapsed="false">
      <c r="A11" s="53" t="s">
        <v>1444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587</v>
      </c>
      <c r="F11" s="54" t="s">
        <v>587</v>
      </c>
      <c r="G11" s="86"/>
    </row>
    <row r="12" customFormat="false" ht="15" hidden="false" customHeight="false" outlineLevel="0" collapsed="false">
      <c r="A12" s="53" t="s">
        <v>1445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1446</v>
      </c>
    </row>
    <row r="13" customFormat="false" ht="15" hidden="false" customHeight="false" outlineLevel="0" collapsed="false">
      <c r="A13" s="53" t="s">
        <v>1447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1448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1449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1450</v>
      </c>
      <c r="B16" s="104" t="s">
        <v>587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587</v>
      </c>
      <c r="F16" s="54" t="s">
        <v>587</v>
      </c>
      <c r="G16" s="80" t="s">
        <v>1451</v>
      </c>
    </row>
    <row r="17" customFormat="false" ht="15" hidden="false" customHeight="false" outlineLevel="0" collapsed="false">
      <c r="A17" s="54" t="s">
        <v>1452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1453</v>
      </c>
    </row>
    <row r="18" customFormat="false" ht="26.85" hidden="false" customHeight="false" outlineLevel="0" collapsed="false">
      <c r="A18" s="54" t="s">
        <v>1454</v>
      </c>
      <c r="B18" s="73" t="n">
        <v>0.5</v>
      </c>
      <c r="G18" s="86" t="s">
        <v>1455</v>
      </c>
    </row>
    <row r="19" customFormat="false" ht="15" hidden="false" customHeight="false" outlineLevel="0" collapsed="false">
      <c r="A19" s="10" t="s">
        <v>1456</v>
      </c>
    </row>
    <row r="20" customFormat="false" ht="15" hidden="false" customHeight="false" outlineLevel="0" collapsed="false">
      <c r="A20" s="53" t="s">
        <v>1457</v>
      </c>
      <c r="B20" s="59" t="n">
        <v>6</v>
      </c>
      <c r="C20" s="155" t="n">
        <f aca="false">Amortize!M22*INDEX(B4_Life,1,2)/B20</f>
        <v>0.00894740029411625</v>
      </c>
      <c r="D20" s="90" t="n">
        <f aca="false">C20/Amortize!M22</f>
        <v>2</v>
      </c>
      <c r="G20" s="51" t="s">
        <v>1458</v>
      </c>
    </row>
    <row r="21" customFormat="false" ht="15" hidden="false" customHeight="false" outlineLevel="0" collapsed="false">
      <c r="A21" s="53" t="s">
        <v>1459</v>
      </c>
      <c r="B21" s="59" t="n">
        <v>24</v>
      </c>
      <c r="C21" s="155" t="n">
        <f aca="false">Amortize!M22*INDEX(B4_Life,1,2)/B21</f>
        <v>0.00223685007352906</v>
      </c>
      <c r="D21" s="90" t="n">
        <f aca="false">C21/Amortize!M22</f>
        <v>0.5</v>
      </c>
      <c r="G21" s="51" t="s">
        <v>1458</v>
      </c>
    </row>
    <row r="23" customFormat="false" ht="15" hidden="false" customHeight="false" outlineLevel="0" collapsed="false">
      <c r="A23" s="66" t="s">
        <v>1460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0" t="s">
        <v>1461</v>
      </c>
    </row>
    <row r="2" customFormat="false" ht="15" hidden="false" customHeight="false" outlineLevel="0" collapsed="false">
      <c r="A2" s="66" t="s">
        <v>1462</v>
      </c>
    </row>
    <row r="4" customFormat="false" ht="15" hidden="false" customHeight="false" outlineLevel="0" collapsed="false">
      <c r="A4" s="68" t="s">
        <v>1463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1464</v>
      </c>
      <c r="B5" s="53" t="s">
        <v>75</v>
      </c>
      <c r="C5" s="59" t="n">
        <v>2</v>
      </c>
      <c r="H5" s="51" t="s">
        <v>72</v>
      </c>
      <c r="I5" s="66" t="s">
        <v>1465</v>
      </c>
    </row>
    <row r="6" customFormat="false" ht="15" hidden="false" customHeight="false" outlineLevel="0" collapsed="false">
      <c r="A6" s="53" t="s">
        <v>1466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1467</v>
      </c>
      <c r="B7" s="54" t="s">
        <v>83</v>
      </c>
      <c r="C7" s="154" t="n">
        <f aca="false">Tech_Registry!O16*Tech_Registry!N16</f>
        <v>0</v>
      </c>
      <c r="I7" s="51" t="s">
        <v>1468</v>
      </c>
    </row>
    <row r="8" customFormat="false" ht="15" hidden="false" customHeight="false" outlineLevel="0" collapsed="false">
      <c r="A8" s="53" t="s">
        <v>1469</v>
      </c>
      <c r="B8" s="54" t="s">
        <v>79</v>
      </c>
      <c r="C8" s="58" t="n">
        <v>0.5</v>
      </c>
      <c r="H8" s="51" t="s">
        <v>72</v>
      </c>
      <c r="I8" s="51" t="s">
        <v>1470</v>
      </c>
    </row>
    <row r="9" customFormat="false" ht="15" hidden="false" customHeight="false" outlineLevel="0" collapsed="false">
      <c r="A9" s="68" t="s">
        <v>1471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10" t="s">
        <v>1472</v>
      </c>
    </row>
    <row r="11" customFormat="false" ht="30" hidden="false" customHeight="true" outlineLevel="0" collapsed="false">
      <c r="A11" s="10" t="s">
        <v>62</v>
      </c>
      <c r="B11" s="10" t="s">
        <v>63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10" t="s">
        <v>67</v>
      </c>
      <c r="I11" s="10" t="s">
        <v>304</v>
      </c>
    </row>
    <row r="12" customFormat="false" ht="26.85" hidden="false" customHeight="false" outlineLevel="0" collapsed="false">
      <c r="A12" s="53" t="s">
        <v>1473</v>
      </c>
      <c r="B12" s="54" t="s">
        <v>83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1" t="s">
        <v>80</v>
      </c>
      <c r="I12" s="86" t="s">
        <v>1474</v>
      </c>
    </row>
    <row r="13" customFormat="false" ht="15" hidden="false" customHeight="false" outlineLevel="0" collapsed="false">
      <c r="A13" s="53" t="s">
        <v>1475</v>
      </c>
      <c r="B13" s="54" t="s">
        <v>79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1" t="s">
        <v>1476</v>
      </c>
      <c r="I13" s="80" t="s">
        <v>1477</v>
      </c>
    </row>
    <row r="14" customFormat="false" ht="15" hidden="false" customHeight="false" outlineLevel="0" collapsed="false">
      <c r="A14" s="53" t="s">
        <v>1478</v>
      </c>
      <c r="B14" s="54" t="s">
        <v>83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1" t="s">
        <v>80</v>
      </c>
      <c r="I14" s="86" t="s">
        <v>1479</v>
      </c>
    </row>
    <row r="15" customFormat="false" ht="15" hidden="false" customHeight="false" outlineLevel="0" collapsed="false">
      <c r="A15" s="53" t="s">
        <v>1480</v>
      </c>
      <c r="B15" s="54" t="s">
        <v>83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1" t="s">
        <v>80</v>
      </c>
      <c r="I15" s="86" t="s">
        <v>1481</v>
      </c>
    </row>
    <row r="16" customFormat="false" ht="15" hidden="false" customHeight="false" outlineLevel="0" collapsed="false">
      <c r="A16" s="53" t="s">
        <v>1482</v>
      </c>
      <c r="B16" s="53" t="s">
        <v>1483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1" t="s">
        <v>80</v>
      </c>
      <c r="I16" s="86" t="s">
        <v>1484</v>
      </c>
    </row>
    <row r="17" customFormat="false" ht="15" hidden="false" customHeight="false" outlineLevel="0" collapsed="false">
      <c r="A17" s="53" t="s">
        <v>1485</v>
      </c>
      <c r="B17" s="53" t="s">
        <v>295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1" t="s">
        <v>80</v>
      </c>
      <c r="I17" s="86" t="s">
        <v>1486</v>
      </c>
    </row>
    <row r="18" customFormat="false" ht="15" hidden="false" customHeight="false" outlineLevel="0" collapsed="false">
      <c r="A18" s="53" t="s">
        <v>1487</v>
      </c>
      <c r="B18" s="54" t="s">
        <v>1128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1" t="s">
        <v>84</v>
      </c>
      <c r="I18" s="80" t="s">
        <v>1488</v>
      </c>
    </row>
    <row r="19" customFormat="false" ht="26.85" hidden="false" customHeight="false" outlineLevel="0" collapsed="false">
      <c r="A19" s="53" t="s">
        <v>1489</v>
      </c>
      <c r="B19" s="54" t="s">
        <v>83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1" t="s">
        <v>80</v>
      </c>
      <c r="I19" s="80" t="s">
        <v>1490</v>
      </c>
    </row>
    <row r="20" customFormat="false" ht="15" hidden="false" customHeight="false" outlineLevel="0" collapsed="false">
      <c r="A20" s="53" t="s">
        <v>1491</v>
      </c>
      <c r="B20" s="53" t="s">
        <v>1320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1" t="s">
        <v>115</v>
      </c>
      <c r="I20" s="86" t="s">
        <v>1492</v>
      </c>
    </row>
    <row r="22" customFormat="false" ht="15" hidden="false" customHeight="false" outlineLevel="0" collapsed="false">
      <c r="A22" s="10" t="s">
        <v>1493</v>
      </c>
    </row>
    <row r="23" customFormat="false" ht="30" hidden="false" customHeight="true" outlineLevel="0" collapsed="false">
      <c r="A23" s="10" t="s">
        <v>62</v>
      </c>
      <c r="B23" s="10" t="s">
        <v>63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10" t="s">
        <v>67</v>
      </c>
      <c r="I23" s="10" t="s">
        <v>304</v>
      </c>
    </row>
    <row r="24" customFormat="false" ht="15" hidden="false" customHeight="false" outlineLevel="0" collapsed="false">
      <c r="A24" s="53" t="s">
        <v>1473</v>
      </c>
      <c r="B24" s="54" t="s">
        <v>83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1" t="s">
        <v>80</v>
      </c>
      <c r="I24" s="86"/>
    </row>
    <row r="25" customFormat="false" ht="15" hidden="false" customHeight="false" outlineLevel="0" collapsed="false">
      <c r="A25" s="53" t="s">
        <v>1475</v>
      </c>
      <c r="B25" s="54" t="s">
        <v>79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1" t="s">
        <v>80</v>
      </c>
      <c r="I25" s="86"/>
    </row>
    <row r="26" customFormat="false" ht="15" hidden="false" customHeight="false" outlineLevel="0" collapsed="false">
      <c r="A26" s="53" t="s">
        <v>1478</v>
      </c>
      <c r="B26" s="54" t="s">
        <v>83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1" t="s">
        <v>80</v>
      </c>
      <c r="I26" s="86"/>
    </row>
    <row r="27" customFormat="false" ht="15" hidden="false" customHeight="false" outlineLevel="0" collapsed="false">
      <c r="A27" s="53" t="s">
        <v>1480</v>
      </c>
      <c r="B27" s="54" t="s">
        <v>83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1" t="s">
        <v>80</v>
      </c>
      <c r="I27" s="86"/>
    </row>
    <row r="28" customFormat="false" ht="15" hidden="false" customHeight="false" outlineLevel="0" collapsed="false">
      <c r="A28" s="53" t="s">
        <v>1482</v>
      </c>
      <c r="B28" s="53" t="s">
        <v>1483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1" t="s">
        <v>80</v>
      </c>
      <c r="I28" s="86"/>
    </row>
    <row r="29" customFormat="false" ht="26.85" hidden="false" customHeight="false" outlineLevel="0" collapsed="false">
      <c r="A29" s="53" t="s">
        <v>1485</v>
      </c>
      <c r="B29" s="53" t="s">
        <v>295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1" t="s">
        <v>84</v>
      </c>
      <c r="I29" s="80" t="s">
        <v>1494</v>
      </c>
    </row>
    <row r="30" customFormat="false" ht="15" hidden="false" customHeight="false" outlineLevel="0" collapsed="false">
      <c r="A30" s="53" t="s">
        <v>1487</v>
      </c>
      <c r="B30" s="54" t="s">
        <v>1128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1" t="s">
        <v>80</v>
      </c>
      <c r="I30" s="86"/>
    </row>
    <row r="31" customFormat="false" ht="15" hidden="false" customHeight="false" outlineLevel="0" collapsed="false">
      <c r="A31" s="53" t="s">
        <v>1489</v>
      </c>
      <c r="B31" s="54" t="s">
        <v>83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1" t="s">
        <v>80</v>
      </c>
      <c r="I31" s="80" t="s">
        <v>1495</v>
      </c>
    </row>
    <row r="32" customFormat="false" ht="15" hidden="false" customHeight="false" outlineLevel="0" collapsed="false">
      <c r="A32" s="53" t="s">
        <v>1491</v>
      </c>
      <c r="B32" s="53" t="s">
        <v>1320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1" t="s">
        <v>80</v>
      </c>
      <c r="I32" s="86" t="s">
        <v>1496</v>
      </c>
    </row>
    <row r="34" customFormat="false" ht="15" hidden="false" customHeight="false" outlineLevel="0" collapsed="false">
      <c r="A34" s="10" t="s">
        <v>1497</v>
      </c>
    </row>
    <row r="35" customFormat="false" ht="30" hidden="false" customHeight="true" outlineLevel="0" collapsed="false">
      <c r="A35" s="10" t="s">
        <v>62</v>
      </c>
      <c r="B35" s="10" t="s">
        <v>63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1473</v>
      </c>
      <c r="B36" s="54" t="s">
        <v>83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1475</v>
      </c>
      <c r="B37" s="54" t="s">
        <v>79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1478</v>
      </c>
      <c r="B38" s="54" t="s">
        <v>83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1480</v>
      </c>
      <c r="B39" s="54" t="s">
        <v>83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1482</v>
      </c>
      <c r="B40" s="53" t="s">
        <v>1483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1485</v>
      </c>
      <c r="B41" s="53" t="s">
        <v>295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1487</v>
      </c>
      <c r="B42" s="54" t="s">
        <v>1128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1489</v>
      </c>
      <c r="B43" s="54" t="s">
        <v>83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1491</v>
      </c>
      <c r="B44" s="53" t="s">
        <v>1320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1498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10" t="s">
        <v>336</v>
      </c>
      <c r="B47" s="10" t="s">
        <v>63</v>
      </c>
      <c r="C47" s="52" t="s">
        <v>227</v>
      </c>
      <c r="D47" s="52" t="s">
        <v>228</v>
      </c>
      <c r="E47" s="52" t="s">
        <v>229</v>
      </c>
      <c r="H47" s="10" t="s">
        <v>67</v>
      </c>
      <c r="I47" s="10" t="s">
        <v>304</v>
      </c>
    </row>
    <row r="48" customFormat="false" ht="26.85" hidden="false" customHeight="false" outlineLevel="0" collapsed="false">
      <c r="A48" s="54" t="s">
        <v>1499</v>
      </c>
      <c r="B48" s="54" t="s">
        <v>1128</v>
      </c>
      <c r="C48" s="70" t="n">
        <v>1.5</v>
      </c>
      <c r="D48" s="70" t="n">
        <v>8</v>
      </c>
      <c r="E48" s="70" t="n">
        <v>16</v>
      </c>
      <c r="H48" s="51" t="s">
        <v>84</v>
      </c>
      <c r="I48" s="80" t="s">
        <v>1500</v>
      </c>
    </row>
    <row r="49" customFormat="false" ht="15" hidden="false" customHeight="false" outlineLevel="0" collapsed="false">
      <c r="A49" s="54" t="s">
        <v>1501</v>
      </c>
      <c r="B49" s="54" t="s">
        <v>1128</v>
      </c>
      <c r="C49" s="70" t="n">
        <v>0.5</v>
      </c>
      <c r="D49" s="70" t="n">
        <v>4</v>
      </c>
      <c r="E49" s="70" t="n">
        <v>11</v>
      </c>
      <c r="H49" s="51" t="s">
        <v>84</v>
      </c>
      <c r="I49" s="86"/>
    </row>
    <row r="50" customFormat="false" ht="15" hidden="false" customHeight="false" outlineLevel="0" collapsed="false">
      <c r="A50" s="54" t="s">
        <v>1502</v>
      </c>
      <c r="B50" s="54" t="s">
        <v>1128</v>
      </c>
      <c r="C50" s="70" t="n">
        <v>4</v>
      </c>
      <c r="D50" s="70" t="n">
        <v>12</v>
      </c>
      <c r="E50" s="70" t="n">
        <v>40</v>
      </c>
      <c r="H50" s="51" t="s">
        <v>84</v>
      </c>
      <c r="I50" s="80" t="s">
        <v>1503</v>
      </c>
    </row>
    <row r="51" customFormat="false" ht="26.85" hidden="false" customHeight="false" outlineLevel="0" collapsed="false">
      <c r="A51" s="53" t="s">
        <v>1504</v>
      </c>
      <c r="B51" s="54" t="s">
        <v>83</v>
      </c>
      <c r="C51" s="71" t="n">
        <v>0.75</v>
      </c>
      <c r="D51" s="71" t="n">
        <v>0.65</v>
      </c>
      <c r="E51" s="71" t="n">
        <v>1</v>
      </c>
      <c r="H51" s="51" t="s">
        <v>258</v>
      </c>
      <c r="I51" s="86" t="s">
        <v>1505</v>
      </c>
    </row>
    <row r="52" customFormat="false" ht="30" hidden="false" customHeight="true" outlineLevel="0" collapsed="false">
      <c r="A52" s="10" t="s">
        <v>1506</v>
      </c>
      <c r="B52" s="10" t="s">
        <v>63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1507</v>
      </c>
      <c r="B53" s="54" t="s">
        <v>1128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1" t="s">
        <v>80</v>
      </c>
      <c r="I53" s="66" t="s">
        <v>1508</v>
      </c>
    </row>
    <row r="54" customFormat="false" ht="15" hidden="false" customHeight="false" outlineLevel="0" collapsed="false">
      <c r="A54" s="53" t="s">
        <v>1509</v>
      </c>
      <c r="B54" s="53"/>
      <c r="C54" s="98" t="s">
        <v>1510</v>
      </c>
      <c r="D54" s="98" t="s">
        <v>1510</v>
      </c>
      <c r="E54" s="98" t="s">
        <v>1510</v>
      </c>
      <c r="F54" s="98" t="s">
        <v>1511</v>
      </c>
      <c r="G54" s="98" t="s">
        <v>1511</v>
      </c>
      <c r="I54" s="51" t="s">
        <v>1512</v>
      </c>
    </row>
    <row r="55" customFormat="false" ht="15" hidden="false" customHeight="false" outlineLevel="0" collapsed="false">
      <c r="A55" s="53" t="s">
        <v>1513</v>
      </c>
      <c r="B55" s="54" t="s">
        <v>79</v>
      </c>
      <c r="C55" s="58"/>
      <c r="D55" s="58"/>
      <c r="E55" s="58"/>
      <c r="F55" s="58"/>
      <c r="G55" s="58"/>
      <c r="I55" s="66" t="s">
        <v>1514</v>
      </c>
    </row>
    <row r="56" customFormat="false" ht="15" hidden="false" customHeight="false" outlineLevel="0" collapsed="false">
      <c r="A56" s="53" t="s">
        <v>1515</v>
      </c>
      <c r="B56" s="54" t="s">
        <v>79</v>
      </c>
      <c r="C56" s="58"/>
      <c r="D56" s="58"/>
      <c r="E56" s="58"/>
      <c r="F56" s="58"/>
      <c r="G56" s="58"/>
      <c r="I56" s="66" t="s">
        <v>1514</v>
      </c>
    </row>
    <row r="57" customFormat="false" ht="15" hidden="false" customHeight="false" outlineLevel="0" collapsed="false">
      <c r="A57" s="53" t="s">
        <v>1516</v>
      </c>
      <c r="B57" s="54" t="s">
        <v>79</v>
      </c>
      <c r="C57" s="58"/>
      <c r="D57" s="58"/>
      <c r="E57" s="58"/>
      <c r="F57" s="58"/>
      <c r="G57" s="58"/>
      <c r="I57" s="66" t="s">
        <v>1514</v>
      </c>
    </row>
    <row r="59" customFormat="false" ht="15" hidden="false" customHeight="false" outlineLevel="0" collapsed="false">
      <c r="A59" s="68" t="s">
        <v>1517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10" t="s">
        <v>62</v>
      </c>
      <c r="C60" s="10" t="s">
        <v>1115</v>
      </c>
      <c r="D60" s="10" t="s">
        <v>1116</v>
      </c>
      <c r="I60" s="10" t="s">
        <v>304</v>
      </c>
    </row>
    <row r="61" customFormat="false" ht="15" hidden="false" customHeight="false" outlineLevel="0" collapsed="false">
      <c r="A61" s="53" t="s">
        <v>1473</v>
      </c>
      <c r="C61" s="71" t="n">
        <v>0.5</v>
      </c>
      <c r="D61" s="71" t="n">
        <v>1</v>
      </c>
      <c r="H61" s="51" t="s">
        <v>80</v>
      </c>
      <c r="I61" s="66"/>
    </row>
    <row r="62" customFormat="false" ht="15" hidden="false" customHeight="false" outlineLevel="0" collapsed="false">
      <c r="A62" s="53" t="s">
        <v>1478</v>
      </c>
      <c r="C62" s="71" t="n">
        <v>0.6</v>
      </c>
      <c r="D62" s="71" t="n">
        <v>1</v>
      </c>
      <c r="H62" s="51" t="s">
        <v>80</v>
      </c>
      <c r="I62" s="66"/>
    </row>
    <row r="63" customFormat="false" ht="15" hidden="false" customHeight="false" outlineLevel="0" collapsed="false">
      <c r="A63" s="53" t="s">
        <v>1475</v>
      </c>
      <c r="C63" s="58" t="n">
        <v>0.5</v>
      </c>
      <c r="D63" s="58" t="n">
        <v>1</v>
      </c>
      <c r="H63" s="51" t="s">
        <v>80</v>
      </c>
      <c r="I63" s="66"/>
    </row>
    <row r="64" customFormat="false" ht="15" hidden="false" customHeight="false" outlineLevel="0" collapsed="false">
      <c r="A64" s="53" t="s">
        <v>1518</v>
      </c>
      <c r="C64" s="71" t="n">
        <v>0.5</v>
      </c>
      <c r="D64" s="71" t="n">
        <v>1</v>
      </c>
      <c r="H64" s="51" t="s">
        <v>80</v>
      </c>
      <c r="I64" s="66"/>
    </row>
    <row r="65" customFormat="false" ht="15" hidden="false" customHeight="false" outlineLevel="0" collapsed="false">
      <c r="A65" s="53" t="s">
        <v>1519</v>
      </c>
      <c r="C65" s="71" t="n">
        <v>1</v>
      </c>
      <c r="D65" s="71" t="n">
        <v>4</v>
      </c>
      <c r="H65" s="51" t="s">
        <v>80</v>
      </c>
      <c r="I65" s="51" t="s">
        <v>1520</v>
      </c>
    </row>
    <row r="66" customFormat="false" ht="15" hidden="false" customHeight="false" outlineLevel="0" collapsed="false">
      <c r="A66" s="53" t="s">
        <v>1487</v>
      </c>
      <c r="C66" s="141" t="n">
        <v>0.0833333333333333</v>
      </c>
      <c r="D66" s="141" t="n">
        <v>2</v>
      </c>
      <c r="H66" s="51" t="s">
        <v>80</v>
      </c>
      <c r="I66" s="51" t="s">
        <v>1128</v>
      </c>
    </row>
    <row r="68" customFormat="false" ht="15" hidden="false" customHeight="false" outlineLevel="0" collapsed="false">
      <c r="A68" s="68" t="s">
        <v>1521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10" t="s">
        <v>1522</v>
      </c>
      <c r="B69" s="10" t="s">
        <v>63</v>
      </c>
      <c r="C69" s="10" t="s">
        <v>1523</v>
      </c>
      <c r="D69" s="10" t="s">
        <v>1524</v>
      </c>
      <c r="E69" s="52" t="s">
        <v>1525</v>
      </c>
      <c r="H69" s="10" t="s">
        <v>67</v>
      </c>
      <c r="I69" s="10" t="s">
        <v>68</v>
      </c>
    </row>
    <row r="70" customFormat="false" ht="39.55" hidden="false" customHeight="false" outlineLevel="0" collapsed="false">
      <c r="A70" s="6" t="s">
        <v>1526</v>
      </c>
      <c r="C70" s="102" t="n">
        <f aca="false">SRC_HAR_003</f>
        <v>0.627</v>
      </c>
      <c r="D70" s="55" t="n">
        <f aca="false">SRC_HAR_004</f>
        <v>26098</v>
      </c>
      <c r="H70" s="80" t="s">
        <v>1527</v>
      </c>
      <c r="I70" s="80" t="s">
        <v>1528</v>
      </c>
    </row>
    <row r="71" customFormat="false" ht="29.85" hidden="false" customHeight="false" outlineLevel="0" collapsed="false">
      <c r="A71" s="6" t="s">
        <v>1529</v>
      </c>
      <c r="C71" s="102" t="n">
        <f aca="false">SRC_HAR_005</f>
        <v>0.986</v>
      </c>
      <c r="D71" s="55" t="n">
        <f aca="false">SRC_HAR_006</f>
        <v>17332</v>
      </c>
      <c r="H71" s="80" t="s">
        <v>1530</v>
      </c>
      <c r="I71" s="80" t="s">
        <v>1528</v>
      </c>
    </row>
    <row r="72" customFormat="false" ht="29.85" hidden="false" customHeight="false" outlineLevel="0" collapsed="false">
      <c r="A72" s="6" t="s">
        <v>1531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1530</v>
      </c>
      <c r="I72" s="80" t="s">
        <v>1532</v>
      </c>
    </row>
    <row r="73" customFormat="false" ht="26.85" hidden="false" customHeight="false" outlineLevel="0" collapsed="false">
      <c r="A73" s="6" t="s">
        <v>1533</v>
      </c>
      <c r="C73" s="102" t="n">
        <f aca="false">SRC_HAR_012</f>
        <v>0.302</v>
      </c>
      <c r="H73" s="80" t="s">
        <v>1530</v>
      </c>
      <c r="I73" s="80" t="s">
        <v>1528</v>
      </c>
    </row>
    <row r="74" customFormat="false" ht="24.6" hidden="false" customHeight="false" outlineLevel="0" collapsed="false">
      <c r="A74" s="6" t="s">
        <v>1534</v>
      </c>
      <c r="C74" s="102" t="n">
        <f aca="false">SRC_HAR_015</f>
        <v>1</v>
      </c>
      <c r="H74" s="80" t="s">
        <v>1535</v>
      </c>
      <c r="I74" s="80" t="s">
        <v>1536</v>
      </c>
    </row>
    <row r="75" customFormat="false" ht="26.85" hidden="false" customHeight="false" outlineLevel="0" collapsed="false">
      <c r="A75" s="6" t="s">
        <v>1537</v>
      </c>
      <c r="E75" s="90" t="n">
        <f aca="false">SRC_HAR_002/SRC_HAR_001</f>
        <v>3.75</v>
      </c>
      <c r="H75" s="80" t="s">
        <v>1538</v>
      </c>
      <c r="I75" s="80" t="s">
        <v>1539</v>
      </c>
    </row>
    <row r="76" customFormat="false" ht="15" hidden="false" customHeight="false" outlineLevel="0" collapsed="false">
      <c r="A76" s="52" t="s">
        <v>1540</v>
      </c>
      <c r="B76" s="10"/>
      <c r="C76" s="52" t="s">
        <v>1541</v>
      </c>
      <c r="D76" s="52" t="s">
        <v>1542</v>
      </c>
      <c r="E76" s="10" t="s">
        <v>1543</v>
      </c>
      <c r="F76" s="10" t="s">
        <v>1544</v>
      </c>
      <c r="H76" s="10" t="s">
        <v>67</v>
      </c>
      <c r="I76" s="10" t="s">
        <v>430</v>
      </c>
    </row>
    <row r="77" customFormat="false" ht="15" hidden="false" customHeight="false" outlineLevel="0" collapsed="false">
      <c r="A77" s="54" t="s">
        <v>1545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1" t="s">
        <v>1546</v>
      </c>
      <c r="I77" s="51" t="s">
        <v>1547</v>
      </c>
    </row>
    <row r="78" customFormat="false" ht="15" hidden="false" customHeight="false" outlineLevel="0" collapsed="false">
      <c r="A78" s="54" t="s">
        <v>1548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1" t="s">
        <v>1546</v>
      </c>
      <c r="I78" s="51" t="s">
        <v>1547</v>
      </c>
    </row>
    <row r="79" customFormat="false" ht="15" hidden="false" customHeight="false" outlineLevel="0" collapsed="false">
      <c r="A79" s="54" t="s">
        <v>1549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1" t="s">
        <v>1546</v>
      </c>
      <c r="I79" s="51" t="s">
        <v>1547</v>
      </c>
    </row>
    <row r="80" customFormat="false" ht="15" hidden="false" customHeight="false" outlineLevel="0" collapsed="false">
      <c r="A80" s="54" t="s">
        <v>1550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1" t="s">
        <v>1546</v>
      </c>
      <c r="I80" s="51" t="s">
        <v>1547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0" t="s">
        <v>1551</v>
      </c>
    </row>
    <row r="2" customFormat="false" ht="15" hidden="false" customHeight="false" outlineLevel="0" collapsed="false">
      <c r="A2" s="66" t="s">
        <v>1552</v>
      </c>
    </row>
    <row r="4" customFormat="false" ht="30" hidden="false" customHeight="true" outlineLevel="0" collapsed="false">
      <c r="A4" s="10" t="s">
        <v>336</v>
      </c>
      <c r="B4" s="10" t="s">
        <v>63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1553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10" t="s">
        <v>1554</v>
      </c>
    </row>
    <row r="7" customFormat="false" ht="15" hidden="false" customHeight="false" outlineLevel="0" collapsed="false">
      <c r="A7" s="5" t="s">
        <v>357</v>
      </c>
      <c r="B7" s="53" t="s">
        <v>358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1555</v>
      </c>
      <c r="B8" s="54" t="s">
        <v>257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1475</v>
      </c>
      <c r="B9" s="54" t="s">
        <v>79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1556</v>
      </c>
      <c r="B10" s="54" t="s">
        <v>79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1557</v>
      </c>
      <c r="B11" s="53" t="s">
        <v>295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1518</v>
      </c>
      <c r="B12" s="54" t="s">
        <v>83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384</v>
      </c>
      <c r="B13" s="54" t="s">
        <v>257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385</v>
      </c>
      <c r="B14" s="54" t="s">
        <v>257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1558</v>
      </c>
      <c r="B15" s="54" t="s">
        <v>257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1559</v>
      </c>
      <c r="B16" s="54" t="s">
        <v>257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1560</v>
      </c>
      <c r="B17" s="54" t="s">
        <v>83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390</v>
      </c>
      <c r="B18" s="54" t="s">
        <v>257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391</v>
      </c>
      <c r="B19" s="54" t="s">
        <v>257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392</v>
      </c>
      <c r="B20" s="54" t="s">
        <v>257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393</v>
      </c>
      <c r="B21" s="54" t="s">
        <v>257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10" t="s">
        <v>1561</v>
      </c>
    </row>
    <row r="24" customFormat="false" ht="15" hidden="false" customHeight="false" outlineLevel="0" collapsed="false">
      <c r="A24" s="5" t="s">
        <v>357</v>
      </c>
      <c r="B24" s="53" t="s">
        <v>358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1555</v>
      </c>
      <c r="B25" s="54" t="s">
        <v>257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1475</v>
      </c>
      <c r="B26" s="54" t="s">
        <v>79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1556</v>
      </c>
      <c r="B27" s="54" t="s">
        <v>79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1557</v>
      </c>
      <c r="B28" s="53" t="s">
        <v>295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1518</v>
      </c>
      <c r="B29" s="54" t="s">
        <v>83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384</v>
      </c>
      <c r="B30" s="54" t="s">
        <v>257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385</v>
      </c>
      <c r="B31" s="54" t="s">
        <v>257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1558</v>
      </c>
      <c r="B32" s="54" t="s">
        <v>257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1559</v>
      </c>
      <c r="B33" s="54" t="s">
        <v>257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1560</v>
      </c>
      <c r="B34" s="54" t="s">
        <v>83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390</v>
      </c>
      <c r="B35" s="54" t="s">
        <v>257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391</v>
      </c>
      <c r="B36" s="54" t="s">
        <v>257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392</v>
      </c>
      <c r="B37" s="54" t="s">
        <v>257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393</v>
      </c>
      <c r="B38" s="54" t="s">
        <v>257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10" t="s">
        <v>1562</v>
      </c>
    </row>
    <row r="41" customFormat="false" ht="15" hidden="false" customHeight="false" outlineLevel="0" collapsed="false">
      <c r="A41" s="5" t="s">
        <v>390</v>
      </c>
      <c r="B41" s="54" t="s">
        <v>257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391</v>
      </c>
      <c r="B42" s="54" t="s">
        <v>257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392</v>
      </c>
      <c r="B43" s="54" t="s">
        <v>257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393</v>
      </c>
      <c r="B44" s="54" t="s">
        <v>257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1563</v>
      </c>
      <c r="B45" s="54" t="s">
        <v>83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1564</v>
      </c>
    </row>
    <row r="47" customFormat="false" ht="15" hidden="false" customHeight="false" outlineLevel="0" collapsed="false">
      <c r="A47" s="68" t="s">
        <v>1565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1566</v>
      </c>
      <c r="B48" s="54" t="s">
        <v>1128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1567</v>
      </c>
      <c r="B49" s="54" t="s">
        <v>1128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1568</v>
      </c>
      <c r="B50" s="54" t="s">
        <v>1128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1569</v>
      </c>
      <c r="B51" s="54" t="s">
        <v>83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1570</v>
      </c>
      <c r="B52" s="54" t="s">
        <v>83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1571</v>
      </c>
      <c r="B53" s="54" t="s">
        <v>83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1572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1573</v>
      </c>
      <c r="B56" s="54" t="s">
        <v>79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1574</v>
      </c>
      <c r="B57" s="54" t="s">
        <v>79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1575</v>
      </c>
      <c r="B58" s="54" t="s">
        <v>79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1576</v>
      </c>
      <c r="B59" s="54" t="s">
        <v>79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1577</v>
      </c>
      <c r="B60" s="54" t="s">
        <v>79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1578</v>
      </c>
      <c r="B61" s="54" t="s">
        <v>79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1579</v>
      </c>
      <c r="B62" s="54" t="s">
        <v>79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1580</v>
      </c>
      <c r="B63" s="54" t="s">
        <v>79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1581</v>
      </c>
      <c r="B64" s="54" t="s">
        <v>79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1582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1583</v>
      </c>
      <c r="B67" s="54" t="s">
        <v>402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1584</v>
      </c>
      <c r="B68" s="54" t="s">
        <v>402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1585</v>
      </c>
      <c r="B69" s="54" t="s">
        <v>402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1586</v>
      </c>
      <c r="B70" s="54" t="s">
        <v>402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1587</v>
      </c>
      <c r="B71" s="54" t="s">
        <v>402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1588</v>
      </c>
      <c r="B72" s="54" t="s">
        <v>402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1589</v>
      </c>
      <c r="B73" s="54" t="s">
        <v>402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1590</v>
      </c>
      <c r="B74" s="54" t="s">
        <v>402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1591</v>
      </c>
      <c r="B75" s="54" t="s">
        <v>402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1592</v>
      </c>
      <c r="B76" s="54" t="s">
        <v>402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1593</v>
      </c>
      <c r="B77" s="54" t="s">
        <v>402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1594</v>
      </c>
      <c r="B78" s="54" t="s">
        <v>402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1595</v>
      </c>
      <c r="B79" s="54" t="s">
        <v>402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1596</v>
      </c>
      <c r="B80" s="54" t="s">
        <v>402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1597</v>
      </c>
      <c r="B81" s="54" t="s">
        <v>402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1598</v>
      </c>
      <c r="B82" s="54" t="s">
        <v>402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1599</v>
      </c>
      <c r="B83" s="54" t="s">
        <v>402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1600</v>
      </c>
      <c r="B84" s="54" t="s">
        <v>402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1601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1583</v>
      </c>
      <c r="B87" s="54" t="s">
        <v>402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1584</v>
      </c>
      <c r="B88" s="54" t="s">
        <v>402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1585</v>
      </c>
      <c r="B89" s="54" t="s">
        <v>402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1586</v>
      </c>
      <c r="B90" s="54" t="s">
        <v>402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1587</v>
      </c>
      <c r="B91" s="54" t="s">
        <v>402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1588</v>
      </c>
      <c r="B92" s="54" t="s">
        <v>402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1589</v>
      </c>
      <c r="B93" s="54" t="s">
        <v>402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1590</v>
      </c>
      <c r="B94" s="54" t="s">
        <v>402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1591</v>
      </c>
      <c r="B95" s="54" t="s">
        <v>402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1592</v>
      </c>
      <c r="B96" s="54" t="s">
        <v>402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1593</v>
      </c>
      <c r="B97" s="54" t="s">
        <v>402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1594</v>
      </c>
      <c r="B98" s="54" t="s">
        <v>402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1595</v>
      </c>
      <c r="B99" s="54" t="s">
        <v>402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1596</v>
      </c>
      <c r="B100" s="54" t="s">
        <v>402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1597</v>
      </c>
      <c r="B101" s="54" t="s">
        <v>402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1598</v>
      </c>
      <c r="B102" s="54" t="s">
        <v>402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1599</v>
      </c>
      <c r="B103" s="54" t="s">
        <v>402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1600</v>
      </c>
      <c r="B104" s="54" t="s">
        <v>402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1602</v>
      </c>
      <c r="B105" s="54" t="s">
        <v>257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1603</v>
      </c>
      <c r="B106" s="54" t="s">
        <v>257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1604</v>
      </c>
      <c r="B107" s="54" t="s">
        <v>257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1605</v>
      </c>
      <c r="B108" s="54" t="s">
        <v>257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1606</v>
      </c>
      <c r="B109" s="54" t="s">
        <v>257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1607</v>
      </c>
      <c r="B110" s="54" t="s">
        <v>257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1608</v>
      </c>
      <c r="B111" s="54" t="s">
        <v>257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1609</v>
      </c>
      <c r="B112" s="54" t="s">
        <v>257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1610</v>
      </c>
      <c r="B113" s="54" t="s">
        <v>257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1611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1612</v>
      </c>
      <c r="B116" s="54" t="s">
        <v>402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1613</v>
      </c>
      <c r="B117" s="54" t="s">
        <v>402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1614</v>
      </c>
      <c r="B118" s="54" t="s">
        <v>402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1615</v>
      </c>
      <c r="B119" s="54" t="s">
        <v>402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1616</v>
      </c>
      <c r="B120" s="54" t="s">
        <v>402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1617</v>
      </c>
      <c r="B121" s="54" t="s">
        <v>402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1618</v>
      </c>
      <c r="B122" s="54" t="s">
        <v>402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1619</v>
      </c>
      <c r="B123" s="54" t="s">
        <v>402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1620</v>
      </c>
      <c r="B124" s="54" t="s">
        <v>402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1621</v>
      </c>
      <c r="B125" s="54" t="s">
        <v>402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1622</v>
      </c>
      <c r="B126" s="54" t="s">
        <v>402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1623</v>
      </c>
      <c r="B127" s="54" t="s">
        <v>402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1624</v>
      </c>
      <c r="B128" s="54" t="s">
        <v>402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1625</v>
      </c>
      <c r="B129" s="54" t="s">
        <v>402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1626</v>
      </c>
      <c r="B130" s="54" t="s">
        <v>402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1627</v>
      </c>
      <c r="B131" s="54" t="s">
        <v>402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1628</v>
      </c>
      <c r="B132" s="54" t="s">
        <v>402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1629</v>
      </c>
      <c r="B133" s="54" t="s">
        <v>402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1630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1631</v>
      </c>
      <c r="B136" s="54" t="s">
        <v>83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1632</v>
      </c>
      <c r="B137" s="54" t="s">
        <v>83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1633</v>
      </c>
      <c r="B138" s="54" t="s">
        <v>83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1634</v>
      </c>
      <c r="B139" s="54" t="s">
        <v>83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1635</v>
      </c>
      <c r="B140" s="54" t="s">
        <v>83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1636</v>
      </c>
      <c r="B141" s="54" t="s">
        <v>83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1637</v>
      </c>
      <c r="B142" s="54" t="s">
        <v>83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1638</v>
      </c>
      <c r="B143" s="54" t="s">
        <v>83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1639</v>
      </c>
      <c r="B144" s="54" t="s">
        <v>83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1640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1641</v>
      </c>
      <c r="B147" s="54" t="s">
        <v>402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1642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1643</v>
      </c>
      <c r="B149" s="54" t="s">
        <v>402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1644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1645</v>
      </c>
      <c r="B151" s="54" t="s">
        <v>402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1646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1647</v>
      </c>
      <c r="B153" s="54" t="s">
        <v>79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1648</v>
      </c>
      <c r="B154" s="54" t="s">
        <v>402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1649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1650</v>
      </c>
      <c r="B156" s="54" t="s">
        <v>79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1651</v>
      </c>
    </row>
    <row r="159" customFormat="false" ht="15" hidden="false" customHeight="false" outlineLevel="0" collapsed="false">
      <c r="A159" s="68" t="s">
        <v>1652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1653</v>
      </c>
      <c r="B160" s="54" t="s">
        <v>1128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1654</v>
      </c>
      <c r="B161" s="54" t="s">
        <v>1128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1655</v>
      </c>
      <c r="B162" s="54" t="s">
        <v>1128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0" t="s">
        <v>1656</v>
      </c>
    </row>
    <row r="2" customFormat="false" ht="15" hidden="false" customHeight="false" outlineLevel="0" collapsed="false">
      <c r="A2" s="66" t="s">
        <v>1657</v>
      </c>
    </row>
    <row r="4" customFormat="false" ht="42" hidden="false" customHeight="true" outlineLevel="0" collapsed="false">
      <c r="A4" s="10" t="s">
        <v>796</v>
      </c>
      <c r="C4" s="76" t="s">
        <v>65</v>
      </c>
      <c r="D4" s="76" t="s">
        <v>1658</v>
      </c>
      <c r="E4" s="76" t="s">
        <v>1659</v>
      </c>
      <c r="F4" s="76" t="s">
        <v>1660</v>
      </c>
      <c r="G4" s="76" t="s">
        <v>1661</v>
      </c>
      <c r="H4" s="76" t="s">
        <v>1662</v>
      </c>
      <c r="I4" s="76" t="s">
        <v>1663</v>
      </c>
      <c r="J4" s="76" t="s">
        <v>1664</v>
      </c>
      <c r="K4" s="76" t="s">
        <v>1665</v>
      </c>
      <c r="L4" s="76" t="s">
        <v>1666</v>
      </c>
      <c r="M4" s="76" t="s">
        <v>1667</v>
      </c>
      <c r="N4" s="76" t="s">
        <v>1668</v>
      </c>
      <c r="O4" s="76" t="s">
        <v>1669</v>
      </c>
      <c r="P4" s="77" t="s">
        <v>1670</v>
      </c>
      <c r="Q4" s="77" t="s">
        <v>1671</v>
      </c>
      <c r="R4" s="77" t="s">
        <v>1672</v>
      </c>
      <c r="S4" s="77" t="s">
        <v>1673</v>
      </c>
    </row>
    <row r="5" customFormat="false" ht="15" hidden="false" customHeight="false" outlineLevel="0" collapsed="false">
      <c r="A5" s="53" t="s">
        <v>1473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1478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1475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1518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1674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1675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1676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1677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1678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1679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1680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1681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1682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1683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1684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1685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1686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1687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1688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1689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1690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1691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1692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1693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1694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1695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1696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1697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1698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1699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1700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0" t="s">
        <v>1702</v>
      </c>
    </row>
    <row r="2" customFormat="false" ht="15" hidden="false" customHeight="false" outlineLevel="0" collapsed="false">
      <c r="A2" s="66" t="s">
        <v>1703</v>
      </c>
    </row>
    <row r="4" customFormat="false" ht="15" hidden="false" customHeight="false" outlineLevel="0" collapsed="false">
      <c r="A4" s="76" t="s">
        <v>1704</v>
      </c>
      <c r="B4" s="76" t="s">
        <v>63</v>
      </c>
      <c r="C4" s="76" t="s">
        <v>65</v>
      </c>
      <c r="D4" s="76" t="s">
        <v>1115</v>
      </c>
      <c r="E4" s="76" t="s">
        <v>1116</v>
      </c>
      <c r="F4" s="76" t="s">
        <v>67</v>
      </c>
      <c r="G4" s="76" t="s">
        <v>1705</v>
      </c>
    </row>
    <row r="5" customFormat="false" ht="15" hidden="false" customHeight="false" outlineLevel="0" collapsed="false">
      <c r="A5" s="53" t="s">
        <v>1706</v>
      </c>
      <c r="B5" s="53" t="s">
        <v>75</v>
      </c>
      <c r="C5" s="160" t="s">
        <v>1177</v>
      </c>
      <c r="D5" s="54" t="s">
        <v>587</v>
      </c>
      <c r="E5" s="54" t="s">
        <v>587</v>
      </c>
      <c r="F5" s="54" t="s">
        <v>72</v>
      </c>
      <c r="G5" s="80" t="s">
        <v>1707</v>
      </c>
    </row>
    <row r="6" customFormat="false" ht="15" hidden="false" customHeight="false" outlineLevel="0" collapsed="false">
      <c r="A6" s="53" t="s">
        <v>1708</v>
      </c>
      <c r="B6" s="53" t="s">
        <v>1709</v>
      </c>
      <c r="C6" s="161" t="n">
        <v>1</v>
      </c>
      <c r="D6" s="70" t="n">
        <v>1</v>
      </c>
      <c r="E6" s="70" t="n">
        <v>2</v>
      </c>
      <c r="F6" s="54" t="s">
        <v>80</v>
      </c>
      <c r="G6" s="80" t="s">
        <v>1710</v>
      </c>
    </row>
    <row r="7" customFormat="false" ht="15" hidden="false" customHeight="false" outlineLevel="0" collapsed="false">
      <c r="A7" s="53" t="s">
        <v>1711</v>
      </c>
      <c r="B7" s="53" t="s">
        <v>1709</v>
      </c>
      <c r="C7" s="161" t="n">
        <v>2</v>
      </c>
      <c r="D7" s="70" t="n">
        <v>0</v>
      </c>
      <c r="E7" s="70" t="n">
        <v>6</v>
      </c>
      <c r="F7" s="54" t="s">
        <v>80</v>
      </c>
      <c r="G7" s="80" t="s">
        <v>1712</v>
      </c>
    </row>
    <row r="8" customFormat="false" ht="15" hidden="false" customHeight="false" outlineLevel="0" collapsed="false">
      <c r="A8" s="53" t="s">
        <v>1713</v>
      </c>
      <c r="B8" s="54" t="s">
        <v>83</v>
      </c>
      <c r="C8" s="161" t="n">
        <v>1</v>
      </c>
      <c r="D8" s="70" t="n">
        <v>0.5</v>
      </c>
      <c r="E8" s="70" t="n">
        <v>7</v>
      </c>
      <c r="F8" s="54" t="s">
        <v>80</v>
      </c>
      <c r="G8" s="80" t="s">
        <v>1714</v>
      </c>
    </row>
    <row r="9" customFormat="false" ht="15" hidden="false" customHeight="false" outlineLevel="0" collapsed="false">
      <c r="A9" s="53" t="s">
        <v>1715</v>
      </c>
      <c r="B9" s="54" t="s">
        <v>79</v>
      </c>
      <c r="C9" s="162" t="n">
        <v>0</v>
      </c>
      <c r="D9" s="58" t="n">
        <v>0</v>
      </c>
      <c r="E9" s="58" t="n">
        <v>1</v>
      </c>
      <c r="F9" s="54" t="s">
        <v>80</v>
      </c>
      <c r="G9" s="86" t="s">
        <v>1716</v>
      </c>
    </row>
    <row r="10" customFormat="false" ht="15" hidden="false" customHeight="false" outlineLevel="0" collapsed="false">
      <c r="A10" s="53" t="s">
        <v>1717</v>
      </c>
      <c r="B10" s="54" t="s">
        <v>79</v>
      </c>
      <c r="C10" s="162" t="n">
        <v>0.4</v>
      </c>
      <c r="D10" s="58" t="n">
        <v>0</v>
      </c>
      <c r="E10" s="58" t="n">
        <v>1</v>
      </c>
      <c r="F10" s="54" t="s">
        <v>80</v>
      </c>
      <c r="G10" s="80" t="s">
        <v>1718</v>
      </c>
    </row>
    <row r="11" customFormat="false" ht="15" hidden="false" customHeight="false" outlineLevel="0" collapsed="false">
      <c r="A11" s="53" t="s">
        <v>1719</v>
      </c>
      <c r="B11" s="54" t="s">
        <v>79</v>
      </c>
      <c r="C11" s="162" t="n">
        <v>0.4</v>
      </c>
      <c r="D11" s="58" t="n">
        <v>0</v>
      </c>
      <c r="E11" s="58" t="n">
        <v>1</v>
      </c>
      <c r="F11" s="54" t="s">
        <v>80</v>
      </c>
      <c r="G11" s="86" t="s">
        <v>105</v>
      </c>
    </row>
    <row r="12" customFormat="false" ht="15" hidden="false" customHeight="false" outlineLevel="0" collapsed="false">
      <c r="A12" s="53" t="s">
        <v>1720</v>
      </c>
      <c r="B12" s="54" t="s">
        <v>79</v>
      </c>
      <c r="C12" s="162" t="n">
        <v>0.2</v>
      </c>
      <c r="D12" s="58" t="n">
        <v>0</v>
      </c>
      <c r="E12" s="58" t="n">
        <v>1</v>
      </c>
      <c r="F12" s="54" t="s">
        <v>80</v>
      </c>
      <c r="G12" s="86" t="s">
        <v>105</v>
      </c>
    </row>
    <row r="13" customFormat="false" ht="15" hidden="false" customHeight="false" outlineLevel="0" collapsed="false">
      <c r="A13" s="53" t="s">
        <v>1721</v>
      </c>
      <c r="B13" s="54" t="s">
        <v>79</v>
      </c>
      <c r="C13" s="162" t="n">
        <v>0</v>
      </c>
      <c r="D13" s="58" t="n">
        <v>0</v>
      </c>
      <c r="E13" s="58" t="n">
        <v>1</v>
      </c>
      <c r="F13" s="54" t="s">
        <v>1722</v>
      </c>
      <c r="G13" s="80" t="s">
        <v>1723</v>
      </c>
    </row>
    <row r="14" customFormat="false" ht="15" hidden="false" customHeight="false" outlineLevel="0" collapsed="false">
      <c r="A14" s="54" t="s">
        <v>1724</v>
      </c>
      <c r="B14" s="54" t="s">
        <v>83</v>
      </c>
      <c r="C14" s="161" t="n">
        <v>0.75</v>
      </c>
      <c r="D14" s="70" t="n">
        <v>0.6</v>
      </c>
      <c r="E14" s="70" t="n">
        <v>0.9</v>
      </c>
      <c r="F14" s="54" t="s">
        <v>80</v>
      </c>
      <c r="G14" s="80" t="s">
        <v>1725</v>
      </c>
    </row>
    <row r="15" customFormat="false" ht="39.55" hidden="false" customHeight="false" outlineLevel="0" collapsed="false">
      <c r="A15" s="53" t="s">
        <v>1726</v>
      </c>
      <c r="B15" s="54" t="s">
        <v>257</v>
      </c>
      <c r="C15" s="56" t="n">
        <v>4000</v>
      </c>
      <c r="D15" s="56" t="n">
        <v>2000</v>
      </c>
      <c r="E15" s="56" t="n">
        <v>6400</v>
      </c>
      <c r="F15" s="54" t="s">
        <v>80</v>
      </c>
      <c r="G15" s="80" t="s">
        <v>1727</v>
      </c>
    </row>
    <row r="16" customFormat="false" ht="15" hidden="false" customHeight="false" outlineLevel="0" collapsed="false">
      <c r="A16" s="54" t="s">
        <v>1728</v>
      </c>
      <c r="B16" s="54" t="s">
        <v>79</v>
      </c>
      <c r="C16" s="162" t="n">
        <v>0.6</v>
      </c>
      <c r="D16" s="58" t="n">
        <v>0.4</v>
      </c>
      <c r="E16" s="58" t="n">
        <v>0.8</v>
      </c>
      <c r="F16" s="54" t="s">
        <v>80</v>
      </c>
      <c r="G16" s="86" t="s">
        <v>1729</v>
      </c>
    </row>
    <row r="18" customFormat="false" ht="15" hidden="false" customHeight="false" outlineLevel="0" collapsed="false">
      <c r="A18" s="10" t="s">
        <v>1730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1731</v>
      </c>
    </row>
    <row r="22" customFormat="false" ht="15" hidden="false" customHeight="false" outlineLevel="0" collapsed="false">
      <c r="A22" s="68" t="s">
        <v>1732</v>
      </c>
      <c r="B22" s="62"/>
      <c r="C22" s="62"/>
      <c r="D22" s="62"/>
      <c r="E22" s="62"/>
      <c r="F22" s="62"/>
      <c r="G22" s="62"/>
    </row>
    <row r="23" customFormat="false" ht="26.85" hidden="false" customHeight="false" outlineLevel="0" collapsed="false">
      <c r="A23" s="5" t="s">
        <v>1733</v>
      </c>
      <c r="B23" s="54" t="s">
        <v>83</v>
      </c>
      <c r="C23" s="163" t="n">
        <v>2</v>
      </c>
      <c r="D23" s="71" t="n">
        <v>1.5</v>
      </c>
      <c r="E23" s="71" t="n">
        <v>3</v>
      </c>
      <c r="F23" s="54" t="s">
        <v>80</v>
      </c>
      <c r="G23" s="80" t="s">
        <v>1734</v>
      </c>
    </row>
    <row r="24" customFormat="false" ht="26.85" hidden="false" customHeight="false" outlineLevel="0" collapsed="false">
      <c r="A24" s="5" t="s">
        <v>1735</v>
      </c>
      <c r="B24" s="54" t="s">
        <v>83</v>
      </c>
      <c r="C24" s="163" t="n">
        <v>0.35</v>
      </c>
      <c r="D24" s="71" t="n">
        <v>0.3</v>
      </c>
      <c r="E24" s="71" t="n">
        <v>0.4</v>
      </c>
      <c r="F24" s="54" t="s">
        <v>80</v>
      </c>
      <c r="G24" s="80" t="s">
        <v>1736</v>
      </c>
    </row>
    <row r="25" customFormat="false" ht="29.85" hidden="false" customHeight="false" outlineLevel="0" collapsed="false">
      <c r="A25" s="5" t="s">
        <v>1737</v>
      </c>
      <c r="B25" s="54" t="s">
        <v>257</v>
      </c>
      <c r="C25" s="56" t="n">
        <v>2000</v>
      </c>
      <c r="D25" s="54" t="s">
        <v>587</v>
      </c>
      <c r="E25" s="54" t="s">
        <v>587</v>
      </c>
      <c r="F25" s="54" t="s">
        <v>1738</v>
      </c>
      <c r="G25" s="80" t="s">
        <v>1739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0" t="s">
        <v>1740</v>
      </c>
    </row>
    <row r="2" customFormat="false" ht="15" hidden="false" customHeight="false" outlineLevel="0" collapsed="false">
      <c r="A2" s="66" t="s">
        <v>1741</v>
      </c>
    </row>
    <row r="4" customFormat="false" ht="15" hidden="false" customHeight="false" outlineLevel="0" collapsed="false">
      <c r="A4" s="68" t="s">
        <v>1742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1743</v>
      </c>
      <c r="B5" s="54" t="s">
        <v>766</v>
      </c>
      <c r="C5" s="60" t="n">
        <f aca="false">SRC_DEM_010*1000000000*525600*AL_APIratio/1000000</f>
        <v>2365200000</v>
      </c>
      <c r="G5" s="51" t="s">
        <v>1744</v>
      </c>
    </row>
    <row r="6" customFormat="false" ht="15" hidden="false" customHeight="false" outlineLevel="0" collapsed="false">
      <c r="A6" s="6" t="s">
        <v>1745</v>
      </c>
      <c r="B6" s="54" t="s">
        <v>766</v>
      </c>
      <c r="C6" s="60" t="n">
        <f aca="false">SRC_DEM_012*1000000000*AL_TokPerPrompt*365/1000000</f>
        <v>3650000000</v>
      </c>
      <c r="G6" s="51" t="s">
        <v>1746</v>
      </c>
    </row>
    <row r="7" customFormat="false" ht="15" hidden="false" customHeight="false" outlineLevel="0" collapsed="false">
      <c r="A7" s="6" t="s">
        <v>1747</v>
      </c>
      <c r="B7" s="54" t="s">
        <v>766</v>
      </c>
      <c r="C7" s="60" t="n">
        <f aca="false">AL_DChat*AL_FreeShare</f>
        <v>2190000000</v>
      </c>
      <c r="G7" s="51" t="s">
        <v>1748</v>
      </c>
    </row>
    <row r="8" customFormat="false" ht="15" hidden="false" customHeight="false" outlineLevel="0" collapsed="false">
      <c r="A8" s="6" t="s">
        <v>1749</v>
      </c>
      <c r="B8" s="54" t="s">
        <v>766</v>
      </c>
      <c r="C8" s="60" t="n">
        <f aca="false">AL_DChat-AL_DChatFree</f>
        <v>1460000000</v>
      </c>
      <c r="G8" s="51" t="s">
        <v>1750</v>
      </c>
    </row>
    <row r="9" customFormat="false" ht="15" hidden="false" customHeight="false" outlineLevel="0" collapsed="false">
      <c r="A9" s="5" t="s">
        <v>1751</v>
      </c>
      <c r="B9" s="54" t="s">
        <v>766</v>
      </c>
      <c r="C9" s="60" t="n">
        <f aca="false">AL_DAPI+AL_DChatPaid</f>
        <v>3825200000</v>
      </c>
    </row>
    <row r="10" customFormat="false" ht="15" hidden="false" customHeight="false" outlineLevel="0" collapsed="false">
      <c r="A10" s="5" t="s">
        <v>1752</v>
      </c>
      <c r="B10" s="54" t="s">
        <v>766</v>
      </c>
      <c r="C10" s="60" t="n">
        <f aca="false">AL_DChatFree</f>
        <v>2190000000</v>
      </c>
    </row>
    <row r="11" customFormat="false" ht="15" hidden="false" customHeight="false" outlineLevel="0" collapsed="false">
      <c r="A11" s="6" t="s">
        <v>1753</v>
      </c>
      <c r="B11" s="54" t="s">
        <v>766</v>
      </c>
      <c r="C11" s="63" t="n">
        <f aca="false">AL_DPaid+AL_DFree</f>
        <v>6015200000</v>
      </c>
    </row>
    <row r="12" customFormat="false" ht="15" hidden="false" customHeight="false" outlineLevel="0" collapsed="false">
      <c r="A12" s="5" t="s">
        <v>1754</v>
      </c>
      <c r="B12" s="54" t="s">
        <v>1755</v>
      </c>
      <c r="C12" s="64" t="n">
        <f aca="false">AL_D/365/1000000</f>
        <v>16.48</v>
      </c>
      <c r="G12" s="51" t="s">
        <v>1756</v>
      </c>
    </row>
    <row r="14" customFormat="false" ht="15" hidden="false" customHeight="false" outlineLevel="0" collapsed="false">
      <c r="A14" s="68" t="s">
        <v>1757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10" t="s">
        <v>144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1758</v>
      </c>
      <c r="B16" s="53" t="s">
        <v>911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1759</v>
      </c>
      <c r="B17" s="53" t="s">
        <v>911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1760</v>
      </c>
      <c r="B18" s="54" t="s">
        <v>79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9.85" hidden="false" customHeight="false" outlineLevel="0" collapsed="false">
      <c r="A19" s="5" t="s">
        <v>1761</v>
      </c>
      <c r="B19" s="53" t="s">
        <v>1320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1762</v>
      </c>
      <c r="B20" s="54" t="s">
        <v>1763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1764</v>
      </c>
    </row>
    <row r="21" customFormat="false" ht="15" hidden="false" customHeight="false" outlineLevel="0" collapsed="false">
      <c r="A21" s="6" t="s">
        <v>1765</v>
      </c>
      <c r="B21" s="54" t="s">
        <v>1763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1766</v>
      </c>
      <c r="B22" s="54" t="s">
        <v>1767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1768</v>
      </c>
    </row>
    <row r="23" customFormat="false" ht="15" hidden="false" customHeight="false" outlineLevel="0" collapsed="false">
      <c r="A23" s="5" t="s">
        <v>1769</v>
      </c>
      <c r="B23" s="54" t="s">
        <v>1767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1770</v>
      </c>
    </row>
    <row r="24" customFormat="false" ht="15" hidden="false" customHeight="false" outlineLevel="0" collapsed="false">
      <c r="A24" s="5" t="s">
        <v>1771</v>
      </c>
      <c r="B24" s="54" t="s">
        <v>1767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1772</v>
      </c>
      <c r="B25" s="54" t="s">
        <v>1767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1773</v>
      </c>
      <c r="B26" s="54" t="s">
        <v>71</v>
      </c>
      <c r="C26" s="65" t="n">
        <f aca="false">IF(AND(ISNUMBER(AL_BlendPaid),AL_DPaid&gt;=0),IF(AL_BlendPaid&gt;0,AL_DPaid/AL_BlendPaid,"SLO 不可達"),"SLO 不可達")</f>
        <v>0.0586318780720756</v>
      </c>
    </row>
    <row r="27" customFormat="false" ht="15" hidden="false" customHeight="false" outlineLevel="0" collapsed="false">
      <c r="A27" s="5" t="s">
        <v>1774</v>
      </c>
      <c r="B27" s="54" t="s">
        <v>71</v>
      </c>
      <c r="C27" s="65" t="n">
        <f aca="false">IF(AND(ISNUMBER(AL_BlendFree),AL_DFree&gt;=0),IF(AL_BlendFree&gt;0,AL_DFree/AL_BlendFree,"SLO 不可達"),"SLO 不可達")</f>
        <v>0.00887439266754401</v>
      </c>
    </row>
    <row r="28" customFormat="false" ht="15" hidden="false" customHeight="false" outlineLevel="0" collapsed="false">
      <c r="A28" s="5" t="s">
        <v>1775</v>
      </c>
      <c r="B28" s="54" t="s">
        <v>71</v>
      </c>
      <c r="C28" s="164" t="n">
        <f aca="false">IF(AND(ISNUMBER(AL_ServeGWPaid),ISNUMBER(AL_ServeGWFree)),AL_ServeGWPaid+AL_ServeGWFree,"SLO 不可達")</f>
        <v>0.0675062707396196</v>
      </c>
    </row>
    <row r="29" customFormat="false" ht="15" hidden="false" customHeight="false" outlineLevel="0" collapsed="false">
      <c r="A29" s="5" t="s">
        <v>1776</v>
      </c>
      <c r="B29" s="54" t="s">
        <v>71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0.0270025082958478</v>
      </c>
      <c r="E29" s="65" t="n">
        <f aca="false">IF(ISNUMBER(AL_ServeGW),AL_ServeGW*E18,"SLO 不可達")</f>
        <v>0.0270025082958478</v>
      </c>
      <c r="F29" s="65" t="n">
        <f aca="false">IF(ISNUMBER(AL_ServeGW),AL_ServeGW*F18,"SLO 不可達")</f>
        <v>0.0135012541479239</v>
      </c>
    </row>
    <row r="30" customFormat="false" ht="15" hidden="false" customHeight="false" outlineLevel="0" collapsed="false">
      <c r="A30" s="5" t="s">
        <v>1777</v>
      </c>
      <c r="B30" s="54" t="s">
        <v>1778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1779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1780</v>
      </c>
      <c r="B33" s="53" t="s">
        <v>911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1781</v>
      </c>
      <c r="B34" s="53" t="s">
        <v>911</v>
      </c>
      <c r="C34" s="104" t="n">
        <f aca="false">3*(AL_TrainGen-1)+2</f>
        <v>11</v>
      </c>
    </row>
    <row r="35" customFormat="false" ht="15" hidden="false" customHeight="false" outlineLevel="0" collapsed="false">
      <c r="A35" s="10" t="s">
        <v>689</v>
      </c>
      <c r="C35" s="52" t="s">
        <v>227</v>
      </c>
      <c r="D35" s="52" t="s">
        <v>228</v>
      </c>
      <c r="E35" s="52" t="s">
        <v>229</v>
      </c>
      <c r="F35" s="10" t="s">
        <v>1782</v>
      </c>
    </row>
    <row r="36" customFormat="false" ht="15" hidden="false" customHeight="false" outlineLevel="0" collapsed="false">
      <c r="A36" s="5" t="s">
        <v>690</v>
      </c>
      <c r="B36" s="53" t="s">
        <v>911</v>
      </c>
      <c r="C36" s="104" t="n">
        <v>1</v>
      </c>
      <c r="D36" s="104" t="n">
        <v>2</v>
      </c>
      <c r="E36" s="104" t="n">
        <v>3</v>
      </c>
    </row>
    <row r="37" customFormat="false" ht="29.85" hidden="false" customHeight="false" outlineLevel="0" collapsed="false">
      <c r="A37" s="5" t="s">
        <v>1783</v>
      </c>
      <c r="B37" s="54" t="s">
        <v>1784</v>
      </c>
      <c r="C37" s="65" t="n">
        <f aca="false">INDEX(IF_ProgGWyr_Luna,1,AL_TrainCol)</f>
        <v>0.00220433968028437</v>
      </c>
      <c r="D37" s="65" t="n">
        <f aca="false">INDEX(IF_ProgGWyr_Sol,1,AL_TrainCol)</f>
        <v>0.00642112099901794</v>
      </c>
      <c r="E37" s="65" t="n">
        <f aca="false">INDEX(IF_ProgGWyr_Astra,1,AL_TrainCol)</f>
        <v>0.0400178434586299</v>
      </c>
      <c r="F37" s="65" t="n">
        <f aca="false">SUM(C37:E37)</f>
        <v>0.0486433041379322</v>
      </c>
      <c r="G37" s="66" t="s">
        <v>1785</v>
      </c>
    </row>
    <row r="38" customFormat="false" ht="15" hidden="false" customHeight="false" outlineLevel="0" collapsed="false">
      <c r="A38" s="5" t="s">
        <v>1786</v>
      </c>
      <c r="B38" s="54" t="s">
        <v>988</v>
      </c>
      <c r="C38" s="55" t="n">
        <f aca="false">INDEX(Training!$C$104:$Q$104,3*(AL_TrainGen-1)+C36)</f>
        <v>117217.93801916</v>
      </c>
      <c r="D38" s="55" t="n">
        <f aca="false">INDEX(Training!$C$104:$Q$104,3*(AL_TrainGen-1)+D36)</f>
        <v>411736.625794877</v>
      </c>
      <c r="E38" s="55" t="n">
        <f aca="false">INDEX(Training!$C$104:$Q$104,3*(AL_TrainGen-1)+E36)</f>
        <v>6186311.43998631</v>
      </c>
      <c r="F38" s="60" t="n">
        <f aca="false">SUM(C38:E38)</f>
        <v>6715266.00380034</v>
      </c>
      <c r="G38" s="51" t="s">
        <v>1787</v>
      </c>
    </row>
    <row r="39" customFormat="false" ht="15" hidden="false" customHeight="false" outlineLevel="0" collapsed="false">
      <c r="A39" s="5" t="s">
        <v>1788</v>
      </c>
      <c r="B39" s="53" t="s">
        <v>702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1789</v>
      </c>
      <c r="B40" s="54" t="s">
        <v>1784</v>
      </c>
      <c r="C40" s="65" t="n">
        <f aca="false">C38*IF_RDMult/(C39*8760)</f>
        <v>0.000366925610202704</v>
      </c>
      <c r="D40" s="65" t="n">
        <f aca="false">D38*IF_RDMult/(D39*8760)</f>
        <v>0.00128885318421053</v>
      </c>
      <c r="E40" s="65" t="n">
        <f aca="false">E38*IF_RDMult/(E39*8760)</f>
        <v>0.0193649209189288</v>
      </c>
      <c r="F40" s="65" t="n">
        <f aca="false">SUM(C40:E40)</f>
        <v>0.0210206997133421</v>
      </c>
      <c r="G40" s="66" t="s">
        <v>1790</v>
      </c>
    </row>
    <row r="41" customFormat="false" ht="15" hidden="false" customHeight="false" outlineLevel="0" collapsed="false">
      <c r="A41" s="5" t="s">
        <v>1791</v>
      </c>
      <c r="B41" s="54" t="s">
        <v>1784</v>
      </c>
      <c r="C41" s="164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1792</v>
      </c>
      <c r="B42" s="54" t="s">
        <v>1784</v>
      </c>
      <c r="C42" s="65" t="n">
        <f aca="false">AL_RDGW*(1+AL_g)</f>
        <v>0.0906847035646163</v>
      </c>
    </row>
    <row r="43" customFormat="false" ht="15" hidden="false" customHeight="false" outlineLevel="0" collapsed="false">
      <c r="A43" s="5" t="s">
        <v>1793</v>
      </c>
      <c r="B43" s="54" t="s">
        <v>1778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1794</v>
      </c>
      <c r="B44" s="54" t="s">
        <v>1371</v>
      </c>
      <c r="C44" s="107" t="n">
        <f aca="false">AL_RDGW*AL_HoldTrain</f>
        <v>1.15731961755801</v>
      </c>
    </row>
    <row r="46" customFormat="false" ht="15" hidden="false" customHeight="false" outlineLevel="0" collapsed="false">
      <c r="A46" s="68" t="s">
        <v>1795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1796</v>
      </c>
      <c r="B47" s="54" t="s">
        <v>79</v>
      </c>
      <c r="C47" s="94" t="n">
        <f aca="false">IF(ISNUMBER(AL_ServeGW),AL_RDGW/(AL_RDGW+AL_ServeGW),"SLO 不可達")</f>
        <v>0.573260920627556</v>
      </c>
    </row>
    <row r="48" customFormat="false" ht="26.85" hidden="false" customHeight="false" outlineLevel="0" collapsed="false">
      <c r="A48" s="6" t="s">
        <v>1797</v>
      </c>
      <c r="B48" s="54" t="s">
        <v>79</v>
      </c>
      <c r="C48" s="96" t="n">
        <f aca="false">IF(ISNUMBER(AL_ServeGW),(AL_RDGW+AL_ServeGWFree)/(AL_RDGW+AL_ServeGW),"SLO 不可達")</f>
        <v>0.629360155786678</v>
      </c>
    </row>
    <row r="49" customFormat="false" ht="29.85" hidden="false" customHeight="false" outlineLevel="0" collapsed="false">
      <c r="A49" s="6" t="s">
        <v>1798</v>
      </c>
      <c r="B49" s="54" t="s">
        <v>79</v>
      </c>
      <c r="C49" s="94" t="n">
        <f aca="false">IF(ISNUMBER(AL_ServeGW),AL_RDGW*AL_HoldTrain/(AL_RDGW*AL_HoldTrain+SUMPRODUCT(AL_ServeGen,AL_HoldGen)),"SLO 不可達")</f>
        <v>0.602500004844985</v>
      </c>
      <c r="G49" s="66" t="s">
        <v>1799</v>
      </c>
    </row>
    <row r="50" customFormat="false" ht="15" hidden="false" customHeight="false" outlineLevel="0" collapsed="false">
      <c r="A50" s="6" t="s">
        <v>1800</v>
      </c>
      <c r="B50" s="54" t="s">
        <v>79</v>
      </c>
      <c r="C50" s="96" t="n">
        <f aca="false">IF(ISNUMBER(AL_ServeGW),AL_RDGWg/(AL_RDGWg+AL_ServeGW),"SLO 不可達")</f>
        <v>0.573260920627556</v>
      </c>
    </row>
    <row r="51" customFormat="false" ht="15" hidden="false" customHeight="false" outlineLevel="0" collapsed="false">
      <c r="A51" s="6" t="s">
        <v>1801</v>
      </c>
      <c r="B51" s="54" t="s">
        <v>79</v>
      </c>
      <c r="C51" s="96" t="n">
        <f aca="false">IF(ISNUMBER(AL_ServeGW),AL_RDGWg*AL_HoldTrain/(AL_RDGWg*AL_HoldTrain+SUMPRODUCT(AL_ServeGen,AL_HoldGen)),"SLO 不可達")</f>
        <v>0.602500004844985</v>
      </c>
    </row>
    <row r="52" customFormat="false" ht="15" hidden="false" customHeight="false" outlineLevel="0" collapsed="false">
      <c r="A52" s="6" t="s">
        <v>1802</v>
      </c>
      <c r="B52" s="53"/>
      <c r="C52" s="53" t="s">
        <v>1803</v>
      </c>
      <c r="G52" s="51" t="s">
        <v>1804</v>
      </c>
    </row>
    <row r="54" customFormat="false" ht="15" hidden="false" customHeight="false" outlineLevel="0" collapsed="false">
      <c r="A54" s="68" t="s">
        <v>1805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1806</v>
      </c>
      <c r="B55" s="54" t="s">
        <v>79</v>
      </c>
      <c r="C55" s="96" t="n">
        <f aca="false">SRC_DEM_006/(SRC_DEM_018+SRC_DEM_006)</f>
        <v>0.487804878048781</v>
      </c>
      <c r="G55" s="51" t="s">
        <v>1807</v>
      </c>
    </row>
    <row r="56" customFormat="false" ht="15" hidden="false" customHeight="false" outlineLevel="0" collapsed="false">
      <c r="A56" s="5" t="s">
        <v>1808</v>
      </c>
      <c r="B56" s="54" t="s">
        <v>71</v>
      </c>
      <c r="C56" s="65" t="n">
        <f aca="false">IF(ISNUMBER(AL_ServeGW),AL_SpendRatio/(1-AL_SpendRatio)*AL_ServeGW,"SLO 不可達")</f>
        <v>0.0642916864186853</v>
      </c>
    </row>
    <row r="57" customFormat="false" ht="15" hidden="false" customHeight="false" outlineLevel="0" collapsed="false">
      <c r="A57" s="5" t="s">
        <v>1809</v>
      </c>
      <c r="B57" s="53" t="s">
        <v>295</v>
      </c>
      <c r="C57" s="97" t="n">
        <f aca="false">IF(ISNUMBER(AL_ImpliedRDGW),AL_ImpliedRDGW/AL_FamGWyr,"SLO 不可達")</f>
        <v>1.32169653271046</v>
      </c>
    </row>
    <row r="58" customFormat="false" ht="15" hidden="false" customHeight="false" outlineLevel="0" collapsed="false">
      <c r="A58" s="6" t="s">
        <v>1810</v>
      </c>
      <c r="B58" s="54" t="s">
        <v>83</v>
      </c>
      <c r="C58" s="69" t="n">
        <f aca="false">IF(ISNUMBER(AL_ImpliedNk),AL_ImpliedNk/(AL_Nmajor+AL_Nrefresh*AL_RefGWyr/AL_FamGWyr),"SLO 不可達")</f>
        <v>0.708958444936362</v>
      </c>
      <c r="G58" s="66" t="s">
        <v>1811</v>
      </c>
    </row>
    <row r="60" customFormat="false" ht="15" hidden="false" customHeight="false" outlineLevel="0" collapsed="false">
      <c r="A60" s="68" t="s">
        <v>1812</v>
      </c>
      <c r="B60" s="62"/>
      <c r="C60" s="62"/>
      <c r="D60" s="62"/>
      <c r="E60" s="62"/>
      <c r="F60" s="62"/>
      <c r="G60" s="62"/>
    </row>
    <row r="61" customFormat="false" ht="29.85" hidden="false" customHeight="false" outlineLevel="0" collapsed="false">
      <c r="A61" s="5" t="s">
        <v>1813</v>
      </c>
      <c r="B61" s="54" t="s">
        <v>71</v>
      </c>
      <c r="C61" s="65" t="n">
        <f aca="false">SRC_DEM_018/SUMPRODUCT(AL_ShareGen,AL_HoldGen)</f>
        <v>1.11398995344644</v>
      </c>
      <c r="G61" s="66" t="s">
        <v>1814</v>
      </c>
    </row>
    <row r="62" customFormat="false" ht="15" hidden="false" customHeight="false" outlineLevel="0" collapsed="false">
      <c r="A62" s="5" t="s">
        <v>1815</v>
      </c>
      <c r="B62" s="54" t="s">
        <v>79</v>
      </c>
      <c r="C62" s="96" t="n">
        <f aca="false">IF(ISNUMBER(AL_ServeGW),AL_ServeGWFree/AL_ServeGW,"SLO 不可達")</f>
        <v>0.131460271324625</v>
      </c>
    </row>
    <row r="63" customFormat="false" ht="15" hidden="false" customHeight="false" outlineLevel="0" collapsed="false">
      <c r="A63" s="5" t="s">
        <v>1816</v>
      </c>
      <c r="B63" s="54" t="s">
        <v>79</v>
      </c>
      <c r="C63" s="96" t="n">
        <f aca="false">SRC_DEM_005/SRC_DEM_018</f>
        <v>0.30952380952381</v>
      </c>
      <c r="G63" s="51" t="s">
        <v>1817</v>
      </c>
    </row>
    <row r="64" customFormat="false" ht="15" hidden="false" customHeight="false" outlineLevel="0" collapsed="false">
      <c r="A64" s="6" t="s">
        <v>1818</v>
      </c>
      <c r="B64" s="54" t="s">
        <v>1755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1819</v>
      </c>
      <c r="B65" s="54" t="s">
        <v>1755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1820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1821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1822</v>
      </c>
    </row>
    <row r="70" customFormat="false" ht="26.85" hidden="false" customHeight="false" outlineLevel="0" collapsed="false">
      <c r="A70" s="10" t="s">
        <v>796</v>
      </c>
      <c r="B70" s="10" t="s">
        <v>1823</v>
      </c>
      <c r="C70" s="77" t="s">
        <v>1824</v>
      </c>
      <c r="D70" s="77" t="s">
        <v>1825</v>
      </c>
      <c r="E70" s="77" t="s">
        <v>1826</v>
      </c>
      <c r="F70" s="77" t="s">
        <v>1827</v>
      </c>
      <c r="G70" s="76" t="s">
        <v>1828</v>
      </c>
      <c r="H70" s="76" t="s">
        <v>1829</v>
      </c>
      <c r="I70" s="77" t="s">
        <v>1830</v>
      </c>
      <c r="J70" s="77" t="s">
        <v>1831</v>
      </c>
      <c r="K70" s="77" t="s">
        <v>1832</v>
      </c>
      <c r="L70" s="77" t="s">
        <v>1833</v>
      </c>
      <c r="M70" s="76" t="s">
        <v>1834</v>
      </c>
      <c r="N70" s="76" t="s">
        <v>1835</v>
      </c>
      <c r="O70" s="76" t="s">
        <v>1836</v>
      </c>
      <c r="P70" s="76" t="s">
        <v>1837</v>
      </c>
      <c r="Q70" s="76" t="s">
        <v>1838</v>
      </c>
      <c r="R70" s="76" t="s">
        <v>1839</v>
      </c>
      <c r="S70" s="77" t="s">
        <v>1840</v>
      </c>
      <c r="T70" s="77" t="s">
        <v>1841</v>
      </c>
      <c r="U70" s="76" t="s">
        <v>1842</v>
      </c>
      <c r="V70" s="76" t="s">
        <v>1843</v>
      </c>
      <c r="W70" s="76" t="s">
        <v>1844</v>
      </c>
    </row>
    <row r="71" customFormat="false" ht="15" hidden="false" customHeight="false" outlineLevel="0" collapsed="false">
      <c r="A71" s="53" t="s">
        <v>65</v>
      </c>
      <c r="B71" s="54" t="s">
        <v>587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4000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3825200000</v>
      </c>
      <c r="N71" s="60" t="n">
        <f aca="false">SRC_DEM_012*1000000000*G71*365/1000000*H71</f>
        <v>2190000000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0.0675062707396196</v>
      </c>
      <c r="R71" s="65" t="n">
        <f aca="false">E71*(C71*AL_FamGWyr+D71*AL_RefGWyr)</f>
        <v>0.0906847035646163</v>
      </c>
      <c r="S71" s="96" t="n">
        <f aca="false">IF(ISNUMBER(Q71),R71/(R71+Q71),"SLO 不可達")</f>
        <v>0.573260920627556</v>
      </c>
      <c r="T71" s="96" t="n">
        <f aca="false">IF(ISNUMBER(Q71),R71*AL_HoldTrain/(R71*AL_HoldTrain+Q71*(I71*$C$30+J71*$D$30+K71*$E$30+L71*$F$30)),"SLO 不可達")</f>
        <v>0.602500004844985</v>
      </c>
      <c r="U71" s="107" t="n">
        <f aca="false">R71*AL_HoldTrain</f>
        <v>1.15731961755801</v>
      </c>
      <c r="V71" s="64" t="n">
        <f aca="false">(M71+N71)/365/1000000</f>
        <v>16.48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1845</v>
      </c>
      <c r="B72" s="54" t="s">
        <v>1824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4000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3825200000</v>
      </c>
      <c r="N72" s="60" t="n">
        <f aca="false">SRC_DEM_012*1000000000*G72*365/1000000*H72</f>
        <v>2190000000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0.0675062707396196</v>
      </c>
      <c r="R72" s="65" t="n">
        <f aca="false">E72*(C72*AL_FamGWyr+D72*AL_RefGWyr)</f>
        <v>0.0906847035646163</v>
      </c>
      <c r="S72" s="96" t="n">
        <f aca="false">IF(ISNUMBER(Q72),R72/(R72+Q72),"SLO 不可達")</f>
        <v>0.573260920627556</v>
      </c>
      <c r="T72" s="96" t="n">
        <f aca="false">IF(ISNUMBER(Q72),R72*AL_HoldTrain/(R72*AL_HoldTrain+Q72*(I72*$C$30+J72*$D$30+K72*$E$30+L72*$F$30)),"SLO 不可達")</f>
        <v>0.602500004844985</v>
      </c>
      <c r="U72" s="107" t="n">
        <f aca="false">R72*AL_HoldTrain</f>
        <v>1.15731961755801</v>
      </c>
      <c r="V72" s="64" t="n">
        <f aca="false">(M72+N72)/365/1000000</f>
        <v>16.48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1846</v>
      </c>
      <c r="B73" s="54" t="s">
        <v>1824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4000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3825200000</v>
      </c>
      <c r="N73" s="60" t="n">
        <f aca="false">SRC_DEM_012*1000000000*G73*365/1000000*H73</f>
        <v>2190000000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0.0675062707396196</v>
      </c>
      <c r="R73" s="65" t="n">
        <f aca="false">E73*(C73*AL_FamGWyr+D73*AL_RefGWyr)</f>
        <v>0.139328007702549</v>
      </c>
      <c r="S73" s="96" t="n">
        <f aca="false">IF(ISNUMBER(Q73),R73/(R73+Q73),"SLO 不可達")</f>
        <v>0.673621455553391</v>
      </c>
      <c r="T73" s="96" t="n">
        <f aca="false">IF(ISNUMBER(Q73),R73*AL_HoldTrain/(R73*AL_HoldTrain+Q73*(I73*$C$30+J73*$D$30+K73*$E$30+L73*$F$30)),"SLO 不可達")</f>
        <v>0.699587632983115</v>
      </c>
      <c r="U73" s="107" t="n">
        <f aca="false">R73*AL_HoldTrain</f>
        <v>1.7781062323762</v>
      </c>
      <c r="V73" s="64" t="n">
        <f aca="false">(M73+N73)/365/1000000</f>
        <v>16.48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1847</v>
      </c>
      <c r="B74" s="54" t="s">
        <v>1825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4000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3825200000</v>
      </c>
      <c r="N74" s="60" t="n">
        <f aca="false">SRC_DEM_012*1000000000*G74*365/1000000*H74</f>
        <v>2190000000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0.0675062707396196</v>
      </c>
      <c r="R74" s="65" t="n">
        <f aca="false">E74*(C74*AL_FamGWyr+D74*AL_RefGWyr)</f>
        <v>0.0486433041379322</v>
      </c>
      <c r="S74" s="96" t="n">
        <f aca="false">IF(ISNUMBER(Q74),R74/(R74+Q74),"SLO 不可達")</f>
        <v>0.418798813419794</v>
      </c>
      <c r="T74" s="96" t="n">
        <f aca="false">IF(ISNUMBER(Q74),R74*AL_HoldTrain/(R74*AL_HoldTrain+Q74*(I74*$C$30+J74*$D$30+K74*$E$30+L74*$F$30)),"SLO 不可達")</f>
        <v>0.448438505263355</v>
      </c>
      <c r="U74" s="107" t="n">
        <f aca="false">R74*AL_HoldTrain</f>
        <v>0.620786614818194</v>
      </c>
      <c r="V74" s="64" t="n">
        <f aca="false">(M74+N74)/365/1000000</f>
        <v>16.48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1848</v>
      </c>
      <c r="B75" s="54" t="s">
        <v>1825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4000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3825200000</v>
      </c>
      <c r="N75" s="60" t="n">
        <f aca="false">SRC_DEM_012*1000000000*G75*365/1000000*H75</f>
        <v>2190000000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0.0675062707396196</v>
      </c>
      <c r="R75" s="65" t="n">
        <f aca="false">E75*(C75*AL_FamGWyr+D75*AL_RefGWyr)</f>
        <v>0.174767502417984</v>
      </c>
      <c r="S75" s="96" t="n">
        <f aca="false">IF(ISNUMBER(Q75),R75/(R75+Q75),"SLO 不可達")</f>
        <v>0.721363687617539</v>
      </c>
      <c r="T75" s="96" t="n">
        <f aca="false">IF(ISNUMBER(Q75),R75*AL_HoldTrain/(R75*AL_HoldTrain+Q75*(I75*$C$30+J75*$D$30+K75*$E$30+L75*$F$30)),"SLO 不可達")</f>
        <v>0.744969587050576</v>
      </c>
      <c r="U75" s="107" t="n">
        <f aca="false">R75*AL_HoldTrain</f>
        <v>2.23038562303764</v>
      </c>
      <c r="V75" s="64" t="n">
        <f aca="false">(M75+N75)/365/1000000</f>
        <v>16.48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1849</v>
      </c>
      <c r="B76" s="54" t="s">
        <v>1826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4000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3825200000</v>
      </c>
      <c r="N76" s="60" t="n">
        <f aca="false">SRC_DEM_012*1000000000*G76*365/1000000*H76</f>
        <v>2190000000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0.0675062707396196</v>
      </c>
      <c r="R76" s="65" t="n">
        <f aca="false">E76*(C76*AL_FamGWyr+D76*AL_RefGWyr)</f>
        <v>0.0453423517823082</v>
      </c>
      <c r="S76" s="96" t="n">
        <f aca="false">IF(ISNUMBER(Q76),R76/(R76+Q76),"SLO 不可達")</f>
        <v>0.401798008420507</v>
      </c>
      <c r="T76" s="96" t="n">
        <f aca="false">IF(ISNUMBER(Q76),R76*AL_HoldTrain/(R76*AL_HoldTrain+Q76*(I76*$C$30+J76*$D$30+K76*$E$30+L76*$F$30)),"SLO 不可達")</f>
        <v>0.431127017483927</v>
      </c>
      <c r="U76" s="107" t="n">
        <f aca="false">R76*AL_HoldTrain</f>
        <v>0.578659808779004</v>
      </c>
      <c r="V76" s="64" t="n">
        <f aca="false">(M76+N76)/365/1000000</f>
        <v>16.48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1850</v>
      </c>
      <c r="B77" s="54" t="s">
        <v>1826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4000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3825200000</v>
      </c>
      <c r="N77" s="60" t="n">
        <f aca="false">SRC_DEM_012*1000000000*G77*365/1000000*H77</f>
        <v>2190000000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0.0675062707396196</v>
      </c>
      <c r="R77" s="65" t="n">
        <f aca="false">E77*(C77*AL_FamGWyr+D77*AL_RefGWyr)</f>
        <v>0.634792924952314</v>
      </c>
      <c r="S77" s="96" t="n">
        <f aca="false">IF(ISNUMBER(Q77),R77/(R77+Q77),"SLO 不可達")</f>
        <v>0.903878188735344</v>
      </c>
      <c r="T77" s="96" t="n">
        <f aca="false">IF(ISNUMBER(Q77),R77*AL_HoldTrain/(R77*AL_HoldTrain+Q77*(I77*$C$30+J77*$D$30+K77*$E$30+L77*$F$30)),"SLO 不可達")</f>
        <v>0.913867823910908</v>
      </c>
      <c r="U77" s="107" t="n">
        <f aca="false">R77*AL_HoldTrain</f>
        <v>8.10123732290606</v>
      </c>
      <c r="V77" s="64" t="n">
        <f aca="false">(M77+N77)/365/1000000</f>
        <v>16.48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1851</v>
      </c>
      <c r="B78" s="53" t="s">
        <v>1726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2000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3095200000</v>
      </c>
      <c r="N78" s="60" t="n">
        <f aca="false">SRC_DEM_012*1000000000*G78*365/1000000*H78</f>
        <v>1095000000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0.0518797846974362</v>
      </c>
      <c r="R78" s="65" t="n">
        <f aca="false">E78*(C78*AL_FamGWyr+D78*AL_RefGWyr)</f>
        <v>0.0906847035646163</v>
      </c>
      <c r="S78" s="96" t="n">
        <f aca="false">IF(ISNUMBER(Q78),R78/(R78+Q78),"SLO 不可達")</f>
        <v>0.63609601991434</v>
      </c>
      <c r="T78" s="96" t="n">
        <f aca="false">IF(ISNUMBER(Q78),R78*AL_HoldTrain/(R78*AL_HoldTrain+Q78*(I78*$C$30+J78*$D$30+K78*$E$30+L78*$F$30)),"SLO 不可達")</f>
        <v>0.663556558253475</v>
      </c>
      <c r="U78" s="107" t="n">
        <f aca="false">R78*AL_HoldTrain</f>
        <v>1.15731961755801</v>
      </c>
      <c r="V78" s="64" t="n">
        <f aca="false">(M78+N78)/365/1000000</f>
        <v>11.48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1852</v>
      </c>
      <c r="B79" s="53" t="s">
        <v>1726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6400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4701200000</v>
      </c>
      <c r="N79" s="60" t="n">
        <f aca="false">SRC_DEM_012*1000000000*G79*365/1000000*H79</f>
        <v>3504000000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0.0862580539902396</v>
      </c>
      <c r="R79" s="65" t="n">
        <f aca="false">E79*(C79*AL_FamGWyr+D79*AL_RefGWyr)</f>
        <v>0.0906847035646163</v>
      </c>
      <c r="S79" s="96" t="n">
        <f aca="false">IF(ISNUMBER(Q79),R79/(R79+Q79),"SLO 不可達")</f>
        <v>0.51250870517547</v>
      </c>
      <c r="T79" s="96" t="n">
        <f aca="false">IF(ISNUMBER(Q79),R79*AL_HoldTrain/(R79*AL_HoldTrain+Q79*(I79*$C$30+J79*$D$30+K79*$E$30+L79*$F$30)),"SLO 不可達")</f>
        <v>0.542589004163291</v>
      </c>
      <c r="U79" s="107" t="n">
        <f aca="false">R79*AL_HoldTrain</f>
        <v>1.15731961755801</v>
      </c>
      <c r="V79" s="64" t="n">
        <f aca="false">(M79+N79)/365/1000000</f>
        <v>22.48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1853</v>
      </c>
      <c r="B80" s="54" t="s">
        <v>1854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4000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3352160000</v>
      </c>
      <c r="N80" s="60" t="n">
        <f aca="false">SRC_DEM_012*1000000000*G80*365/1000000*H80</f>
        <v>2190000000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0.060255611008569</v>
      </c>
      <c r="R80" s="65" t="n">
        <f aca="false">E80*(C80*AL_FamGWyr+D80*AL_RefGWyr)</f>
        <v>0.0906847035646163</v>
      </c>
      <c r="S80" s="96" t="n">
        <f aca="false">IF(ISNUMBER(Q80),R80/(R80+Q80),"SLO 不可達")</f>
        <v>0.600798426987819</v>
      </c>
      <c r="T80" s="96" t="n">
        <f aca="false">IF(ISNUMBER(Q80),R80*AL_HoldTrain/(R80*AL_HoldTrain+Q80*(I80*$C$30+J80*$D$30+K80*$E$30+L80*$F$30)),"SLO 不可達")</f>
        <v>0.629370580694348</v>
      </c>
      <c r="U80" s="107" t="n">
        <f aca="false">R80*AL_HoldTrain</f>
        <v>1.15731961755801</v>
      </c>
      <c r="V80" s="64" t="n">
        <f aca="false">(M80+N80)/365/1000000</f>
        <v>15.184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1855</v>
      </c>
      <c r="B81" s="54" t="s">
        <v>1854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4000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4298240000</v>
      </c>
      <c r="N81" s="60" t="n">
        <f aca="false">SRC_DEM_012*1000000000*G81*365/1000000*H81</f>
        <v>2190000000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0.0747569304706701</v>
      </c>
      <c r="R81" s="65" t="n">
        <f aca="false">E81*(C81*AL_FamGWyr+D81*AL_RefGWyr)</f>
        <v>0.0906847035646163</v>
      </c>
      <c r="S81" s="96" t="n">
        <f aca="false">IF(ISNUMBER(Q81),R81/(R81+Q81),"SLO 不可達")</f>
        <v>0.548137136660984</v>
      </c>
      <c r="T81" s="96" t="n">
        <f aca="false">IF(ISNUMBER(Q81),R81*AL_HoldTrain/(R81*AL_HoldTrain+Q81*(I81*$C$30+J81*$D$30+K81*$E$30+L81*$F$30)),"SLO 不可達")</f>
        <v>0.577829924466765</v>
      </c>
      <c r="U81" s="107" t="n">
        <f aca="false">R81*AL_HoldTrain</f>
        <v>1.15731961755801</v>
      </c>
      <c r="V81" s="64" t="n">
        <f aca="false">(M81+N81)/365/1000000</f>
        <v>17.776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1856</v>
      </c>
      <c r="B82" s="53" t="s">
        <v>1829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4000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4555200000</v>
      </c>
      <c r="N82" s="60" t="n">
        <f aca="false">SRC_DEM_012*1000000000*G82*365/1000000*H82</f>
        <v>1460000000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0.0757374295588496</v>
      </c>
      <c r="R82" s="65" t="n">
        <f aca="false">E82*(C82*AL_FamGWyr+D82*AL_RefGWyr)</f>
        <v>0.0906847035646163</v>
      </c>
      <c r="S82" s="96" t="n">
        <f aca="false">IF(ISNUMBER(Q82),R82/(R82+Q82),"SLO 不可達")</f>
        <v>0.544907710666939</v>
      </c>
      <c r="T82" s="96" t="n">
        <f aca="false">IF(ISNUMBER(Q82),R82*AL_HoldTrain/(R82*AL_HoldTrain+Q82*(I82*$C$30+J82*$D$30+K82*$E$30+L82*$F$30)),"SLO 不可達")</f>
        <v>0.574648034880046</v>
      </c>
      <c r="U82" s="107" t="n">
        <f aca="false">R82*AL_HoldTrain</f>
        <v>1.15731961755801</v>
      </c>
      <c r="V82" s="64" t="n">
        <f aca="false">(M82+N82)/365/1000000</f>
        <v>16.48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1857</v>
      </c>
      <c r="B83" s="53" t="s">
        <v>1829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4000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3095200000</v>
      </c>
      <c r="N83" s="60" t="n">
        <f aca="false">SRC_DEM_012*1000000000*G83*365/1000000*H83</f>
        <v>2920000000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0.0592751119203895</v>
      </c>
      <c r="R83" s="65" t="n">
        <f aca="false">E83*(C83*AL_FamGWyr+D83*AL_RefGWyr)</f>
        <v>0.0906847035646163</v>
      </c>
      <c r="S83" s="96" t="n">
        <f aca="false">IF(ISNUMBER(Q83),R83/(R83+Q83),"SLO 不可達")</f>
        <v>0.604726694756994</v>
      </c>
      <c r="T83" s="96" t="n">
        <f aca="false">IF(ISNUMBER(Q83),R83*AL_HoldTrain/(R83*AL_HoldTrain+Q83*(I83*$C$30+J83*$D$30+K83*$E$30+L83*$F$30)),"SLO 不可達")</f>
        <v>0.633189347939331</v>
      </c>
      <c r="U83" s="107" t="n">
        <f aca="false">R83*AL_HoldTrain</f>
        <v>1.15731961755801</v>
      </c>
      <c r="V83" s="64" t="n">
        <f aca="false">(M83+N83)/365/1000000</f>
        <v>16.48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1858</v>
      </c>
      <c r="B84" s="53" t="s">
        <v>1859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4000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3825200000</v>
      </c>
      <c r="N84" s="60" t="n">
        <f aca="false">SRC_DEM_012*1000000000*G84*365/1000000*H84</f>
        <v>2190000000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0.0948784255730922</v>
      </c>
      <c r="R84" s="65" t="n">
        <f aca="false">E84*(C84*AL_FamGWyr+D84*AL_RefGWyr)</f>
        <v>0.0906847035646163</v>
      </c>
      <c r="S84" s="96" t="n">
        <f aca="false">IF(ISNUMBER(Q84),R84/(R84+Q84),"SLO 不可達")</f>
        <v>0.488700012691197</v>
      </c>
      <c r="T84" s="96" t="n">
        <f aca="false">IF(ISNUMBER(Q84),R84*AL_HoldTrain/(R84*AL_HoldTrain+Q84*(I84*$C$30+J84*$D$30+K84*$E$30+L84*$F$30)),"SLO 不可達")</f>
        <v>0.570825811657888</v>
      </c>
      <c r="U84" s="107" t="n">
        <f aca="false">R84*AL_HoldTrain</f>
        <v>1.15731961755801</v>
      </c>
      <c r="V84" s="64" t="n">
        <f aca="false">(M84+N84)/365/1000000</f>
        <v>16.48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1860</v>
      </c>
      <c r="B85" s="53" t="s">
        <v>1859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4000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3825200000</v>
      </c>
      <c r="N85" s="60" t="n">
        <f aca="false">SRC_DEM_012*1000000000*G85*365/1000000*H85</f>
        <v>2190000000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0.0398689289853989</v>
      </c>
      <c r="R85" s="65" t="n">
        <f aca="false">E85*(C85*AL_FamGWyr+D85*AL_RefGWyr)</f>
        <v>0.0906847035646163</v>
      </c>
      <c r="S85" s="96" t="n">
        <f aca="false">IF(ISNUMBER(Q85),R85/(R85+Q85),"SLO 不可達")</f>
        <v>0.69461647135613</v>
      </c>
      <c r="T85" s="96" t="n">
        <f aca="false">IF(ISNUMBER(Q85),R85*AL_HoldTrain/(R85*AL_HoldTrain+Q85*(I85*$C$30+J85*$D$30+K85*$E$30+L85*$F$30)),"SLO 不可達")</f>
        <v>0.69461647135613</v>
      </c>
      <c r="U85" s="107" t="n">
        <f aca="false">R85*AL_HoldTrain</f>
        <v>1.15731961755801</v>
      </c>
      <c r="V85" s="64" t="n">
        <f aca="false">(M85+N85)/365/1000000</f>
        <v>16.48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1861</v>
      </c>
      <c r="B87" s="51" t="s">
        <v>587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4000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3825200000</v>
      </c>
      <c r="N87" s="60" t="n">
        <f aca="false">SRC_DEM_012*1000000000*G87*365/1000000*H87</f>
        <v>2190000000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0.0675062707396196</v>
      </c>
      <c r="R87" s="65" t="n">
        <f aca="false">E87*(C87*AL_FamGWyr+D87*AL_RefGWyr)</f>
        <v>0.0906847035646163</v>
      </c>
      <c r="S87" s="96" t="n">
        <f aca="false">IF(ISNUMBER(Q87),R87/(R87+Q87),"SLO 不可達")</f>
        <v>0.573260920627556</v>
      </c>
      <c r="T87" s="96" t="n">
        <f aca="false">IF(ISNUMBER(Q87),R87*AL_HoldTrain/(R87*AL_HoldTrain+Q87*(I87*$C$30+J87*$D$30+K87*$E$30+L87*$F$30)),"SLO 不可達")</f>
        <v>0.602500004844985</v>
      </c>
      <c r="U87" s="107" t="n">
        <f aca="false">R87*AL_HoldTrain</f>
        <v>1.15731961755801</v>
      </c>
      <c r="V87" s="64" t="n">
        <f aca="false">(M87+N87)/365/1000000</f>
        <v>16.48</v>
      </c>
    </row>
    <row r="88" customFormat="false" ht="15" hidden="false" customHeight="false" outlineLevel="0" collapsed="false">
      <c r="A88" s="66" t="s">
        <v>1862</v>
      </c>
      <c r="B88" s="51" t="s">
        <v>1824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4000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3825200000</v>
      </c>
      <c r="N88" s="60" t="n">
        <f aca="false">SRC_DEM_012*1000000000*G88*365/1000000*H88</f>
        <v>2190000000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0.0675062707396196</v>
      </c>
      <c r="R88" s="65" t="n">
        <f aca="false">E88*(C88*AL_FamGWyr+D88*AL_RefGWyr)</f>
        <v>0.0906847035646163</v>
      </c>
      <c r="S88" s="96" t="n">
        <f aca="false">IF(ISNUMBER(Q88),R88/(R88+Q88),"SLO 不可達")</f>
        <v>0.573260920627556</v>
      </c>
      <c r="T88" s="96" t="n">
        <f aca="false">IF(ISNUMBER(Q88),R88*AL_HoldTrain/(R88*AL_HoldTrain+Q88*(I88*$C$30+J88*$D$30+K88*$E$30+L88*$F$30)),"SLO 不可達")</f>
        <v>0.602500004844985</v>
      </c>
      <c r="U88" s="107" t="n">
        <f aca="false">R88*AL_HoldTrain</f>
        <v>1.15731961755801</v>
      </c>
      <c r="V88" s="64" t="n">
        <f aca="false">(M88+N88)/365/1000000</f>
        <v>16.48</v>
      </c>
    </row>
    <row r="89" customFormat="false" ht="15" hidden="false" customHeight="false" outlineLevel="0" collapsed="false">
      <c r="A89" s="66" t="s">
        <v>1863</v>
      </c>
      <c r="B89" s="51" t="s">
        <v>1824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4000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3825200000</v>
      </c>
      <c r="N89" s="60" t="n">
        <f aca="false">SRC_DEM_012*1000000000*G89*365/1000000*H89</f>
        <v>2190000000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0.0675062707396196</v>
      </c>
      <c r="R89" s="65" t="n">
        <f aca="false">E89*(C89*AL_FamGWyr+D89*AL_RefGWyr)</f>
        <v>0.0906847035646163</v>
      </c>
      <c r="S89" s="96" t="n">
        <f aca="false">IF(ISNUMBER(Q89),R89/(R89+Q89),"SLO 不可達")</f>
        <v>0.573260920627556</v>
      </c>
      <c r="T89" s="96" t="n">
        <f aca="false">IF(ISNUMBER(Q89),R89*AL_HoldTrain/(R89*AL_HoldTrain+Q89*(I89*$C$30+J89*$D$30+K89*$E$30+L89*$F$30)),"SLO 不可達")</f>
        <v>0.602500004844985</v>
      </c>
      <c r="U89" s="107" t="n">
        <f aca="false">R89*AL_HoldTrain</f>
        <v>1.15731961755801</v>
      </c>
      <c r="V89" s="64" t="n">
        <f aca="false">(M89+N89)/365/1000000</f>
        <v>16.48</v>
      </c>
    </row>
    <row r="90" customFormat="false" ht="15" hidden="false" customHeight="false" outlineLevel="0" collapsed="false">
      <c r="A90" s="66" t="s">
        <v>1864</v>
      </c>
      <c r="B90" s="51" t="s">
        <v>1825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4000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3825200000</v>
      </c>
      <c r="N90" s="60" t="n">
        <f aca="false">SRC_DEM_012*1000000000*G90*365/1000000*H90</f>
        <v>2190000000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0.0675062707396196</v>
      </c>
      <c r="R90" s="65" t="n">
        <f aca="false">E90*(C90*AL_FamGWyr+D90*AL_RefGWyr)</f>
        <v>0.0906847035646163</v>
      </c>
      <c r="S90" s="96" t="n">
        <f aca="false">IF(ISNUMBER(Q90),R90/(R90+Q90),"SLO 不可達")</f>
        <v>0.573260920627556</v>
      </c>
      <c r="T90" s="96" t="n">
        <f aca="false">IF(ISNUMBER(Q90),R90*AL_HoldTrain/(R90*AL_HoldTrain+Q90*(I90*$C$30+J90*$D$30+K90*$E$30+L90*$F$30)),"SLO 不可達")</f>
        <v>0.602500004844985</v>
      </c>
      <c r="U90" s="107" t="n">
        <f aca="false">R90*AL_HoldTrain</f>
        <v>1.15731961755801</v>
      </c>
      <c r="V90" s="64" t="n">
        <f aca="false">(M90+N90)/365/1000000</f>
        <v>16.48</v>
      </c>
    </row>
    <row r="91" customFormat="false" ht="15" hidden="false" customHeight="false" outlineLevel="0" collapsed="false">
      <c r="A91" s="66" t="s">
        <v>1865</v>
      </c>
      <c r="B91" s="51" t="s">
        <v>1825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4000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3825200000</v>
      </c>
      <c r="N91" s="60" t="n">
        <f aca="false">SRC_DEM_012*1000000000*G91*365/1000000*H91</f>
        <v>2190000000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0.0675062707396196</v>
      </c>
      <c r="R91" s="65" t="n">
        <f aca="false">E91*(C91*AL_FamGWyr+D91*AL_RefGWyr)</f>
        <v>0.0906847035646163</v>
      </c>
      <c r="S91" s="96" t="n">
        <f aca="false">IF(ISNUMBER(Q91),R91/(R91+Q91),"SLO 不可達")</f>
        <v>0.573260920627556</v>
      </c>
      <c r="T91" s="96" t="n">
        <f aca="false">IF(ISNUMBER(Q91),R91*AL_HoldTrain/(R91*AL_HoldTrain+Q91*(I91*$C$30+J91*$D$30+K91*$E$30+L91*$F$30)),"SLO 不可達")</f>
        <v>0.602500004844985</v>
      </c>
      <c r="U91" s="107" t="n">
        <f aca="false">R91*AL_HoldTrain</f>
        <v>1.15731961755801</v>
      </c>
      <c r="V91" s="64" t="n">
        <f aca="false">(M91+N91)/365/1000000</f>
        <v>16.48</v>
      </c>
    </row>
    <row r="92" customFormat="false" ht="15" hidden="false" customHeight="false" outlineLevel="0" collapsed="false">
      <c r="A92" s="66" t="s">
        <v>1866</v>
      </c>
      <c r="B92" s="51" t="s">
        <v>1826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4000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3825200000</v>
      </c>
      <c r="N92" s="60" t="n">
        <f aca="false">SRC_DEM_012*1000000000*G92*365/1000000*H92</f>
        <v>2190000000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0.0675062707396196</v>
      </c>
      <c r="R92" s="65" t="n">
        <f aca="false">E92*(C92*AL_FamGWyr+D92*AL_RefGWyr)</f>
        <v>0.0906847035646163</v>
      </c>
      <c r="S92" s="96" t="n">
        <f aca="false">IF(ISNUMBER(Q92),R92/(R92+Q92),"SLO 不可達")</f>
        <v>0.573260920627556</v>
      </c>
      <c r="T92" s="96" t="n">
        <f aca="false">IF(ISNUMBER(Q92),R92*AL_HoldTrain/(R92*AL_HoldTrain+Q92*(I92*$C$30+J92*$D$30+K92*$E$30+L92*$F$30)),"SLO 不可達")</f>
        <v>0.602500004844985</v>
      </c>
      <c r="U92" s="107" t="n">
        <f aca="false">R92*AL_HoldTrain</f>
        <v>1.15731961755801</v>
      </c>
      <c r="V92" s="64" t="n">
        <f aca="false">(M92+N92)/365/1000000</f>
        <v>16.48</v>
      </c>
    </row>
    <row r="93" customFormat="false" ht="15" hidden="false" customHeight="false" outlineLevel="0" collapsed="false">
      <c r="A93" s="66" t="s">
        <v>1867</v>
      </c>
      <c r="B93" s="51" t="s">
        <v>1826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4000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3825200000</v>
      </c>
      <c r="N93" s="60" t="n">
        <f aca="false">SRC_DEM_012*1000000000*G93*365/1000000*H93</f>
        <v>2190000000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0.0675062707396196</v>
      </c>
      <c r="R93" s="65" t="n">
        <f aca="false">E93*(C93*AL_FamGWyr+D93*AL_RefGWyr)</f>
        <v>0.0906847035646163</v>
      </c>
      <c r="S93" s="96" t="n">
        <f aca="false">IF(ISNUMBER(Q93),R93/(R93+Q93),"SLO 不可達")</f>
        <v>0.573260920627556</v>
      </c>
      <c r="T93" s="96" t="n">
        <f aca="false">IF(ISNUMBER(Q93),R93*AL_HoldTrain/(R93*AL_HoldTrain+Q93*(I93*$C$30+J93*$D$30+K93*$E$30+L93*$F$30)),"SLO 不可達")</f>
        <v>0.602500004844985</v>
      </c>
      <c r="U93" s="107" t="n">
        <f aca="false">R93*AL_HoldTrain</f>
        <v>1.15731961755801</v>
      </c>
      <c r="V93" s="64" t="n">
        <f aca="false">(M93+N93)/365/1000000</f>
        <v>16.48</v>
      </c>
    </row>
    <row r="94" customFormat="false" ht="15" hidden="false" customHeight="false" outlineLevel="0" collapsed="false">
      <c r="A94" s="66" t="s">
        <v>1868</v>
      </c>
      <c r="B94" s="66" t="s">
        <v>1869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4000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3825200000</v>
      </c>
      <c r="N94" s="60" t="n">
        <f aca="false">SRC_DEM_012*1000000000*G94*365/1000000*H94</f>
        <v>2190000000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0.0675062707396196</v>
      </c>
      <c r="R94" s="65" t="n">
        <f aca="false">E94*(C94*AL_FamGWyr+D94*AL_RefGWyr)</f>
        <v>0.0906847035646163</v>
      </c>
      <c r="S94" s="96" t="n">
        <f aca="false">IF(ISNUMBER(Q94),R94/(R94+Q94),"SLO 不可達")</f>
        <v>0.573260920627556</v>
      </c>
      <c r="T94" s="96" t="n">
        <f aca="false">IF(ISNUMBER(Q94),R94*AL_HoldTrain/(R94*AL_HoldTrain+Q94*(I94*$C$30+J94*$D$30+K94*$E$30+L94*$F$30)),"SLO 不可達")</f>
        <v>0.602500004844985</v>
      </c>
      <c r="U94" s="107" t="n">
        <f aca="false">R94*AL_HoldTrain</f>
        <v>1.15731961755801</v>
      </c>
      <c r="V94" s="64" t="n">
        <f aca="false">(M94+N94)/365/1000000</f>
        <v>16.48</v>
      </c>
    </row>
    <row r="95" customFormat="false" ht="15" hidden="false" customHeight="false" outlineLevel="0" collapsed="false">
      <c r="A95" s="66" t="s">
        <v>1870</v>
      </c>
      <c r="B95" s="66" t="s">
        <v>1869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4000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3825200000</v>
      </c>
      <c r="N95" s="60" t="n">
        <f aca="false">SRC_DEM_012*1000000000*G95*365/1000000*H95</f>
        <v>2190000000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0.0675062707396196</v>
      </c>
      <c r="R95" s="65" t="n">
        <f aca="false">E95*(C95*AL_FamGWyr+D95*AL_RefGWyr)</f>
        <v>0.0906847035646163</v>
      </c>
      <c r="S95" s="96" t="n">
        <f aca="false">IF(ISNUMBER(Q95),R95/(R95+Q95),"SLO 不可達")</f>
        <v>0.573260920627556</v>
      </c>
      <c r="T95" s="96" t="n">
        <f aca="false">IF(ISNUMBER(Q95),R95*AL_HoldTrain/(R95*AL_HoldTrain+Q95*(I95*$C$30+J95*$D$30+K95*$E$30+L95*$F$30)),"SLO 不可達")</f>
        <v>0.602500004844985</v>
      </c>
      <c r="U95" s="107" t="n">
        <f aca="false">R95*AL_HoldTrain</f>
        <v>1.15731961755801</v>
      </c>
      <c r="V95" s="64" t="n">
        <f aca="false">(M95+N95)/365/1000000</f>
        <v>16.48</v>
      </c>
    </row>
    <row r="96" customFormat="false" ht="15" hidden="false" customHeight="false" outlineLevel="0" collapsed="false">
      <c r="A96" s="66" t="s">
        <v>1871</v>
      </c>
      <c r="B96" s="51" t="s">
        <v>1872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4000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3825200000</v>
      </c>
      <c r="N96" s="60" t="n">
        <f aca="false">SRC_DEM_012*1000000000*G96*365/1000000*H96</f>
        <v>2190000000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0.0675062707396196</v>
      </c>
      <c r="R96" s="65" t="n">
        <f aca="false">E96*(C96*AL_FamGWyr+D96*AL_RefGWyr)</f>
        <v>0.0906847035646163</v>
      </c>
      <c r="S96" s="96" t="n">
        <f aca="false">IF(ISNUMBER(Q96),R96/(R96+Q96),"SLO 不可達")</f>
        <v>0.573260920627556</v>
      </c>
      <c r="T96" s="96" t="n">
        <f aca="false">IF(ISNUMBER(Q96),R96*AL_HoldTrain/(R96*AL_HoldTrain+Q96*(I96*$C$30+J96*$D$30+K96*$E$30+L96*$F$30)),"SLO 不可達")</f>
        <v>0.602500004844985</v>
      </c>
      <c r="U96" s="107" t="n">
        <f aca="false">R96*AL_HoldTrain</f>
        <v>1.15731961755801</v>
      </c>
      <c r="V96" s="64" t="n">
        <f aca="false">(M96+N96)/365/1000000</f>
        <v>16.48</v>
      </c>
    </row>
    <row r="97" customFormat="false" ht="15" hidden="false" customHeight="false" outlineLevel="0" collapsed="false">
      <c r="A97" s="66" t="s">
        <v>1873</v>
      </c>
      <c r="B97" s="51" t="s">
        <v>1872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4000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3825200000</v>
      </c>
      <c r="N97" s="60" t="n">
        <f aca="false">SRC_DEM_012*1000000000*G97*365/1000000*H97</f>
        <v>2190000000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0.0675062707396196</v>
      </c>
      <c r="R97" s="65" t="n">
        <f aca="false">E97*(C97*AL_FamGWyr+D97*AL_RefGWyr)</f>
        <v>0.0906847035646163</v>
      </c>
      <c r="S97" s="96" t="n">
        <f aca="false">IF(ISNUMBER(Q97),R97/(R97+Q97),"SLO 不可達")</f>
        <v>0.573260920627556</v>
      </c>
      <c r="T97" s="96" t="n">
        <f aca="false">IF(ISNUMBER(Q97),R97*AL_HoldTrain/(R97*AL_HoldTrain+Q97*(I97*$C$30+J97*$D$30+K97*$E$30+L97*$F$30)),"SLO 不可達")</f>
        <v>0.602500004844985</v>
      </c>
      <c r="U97" s="107" t="n">
        <f aca="false">R97*AL_HoldTrain</f>
        <v>1.15731961755801</v>
      </c>
      <c r="V97" s="64" t="n">
        <f aca="false">(M97+N97)/365/1000000</f>
        <v>16.48</v>
      </c>
    </row>
    <row r="98" customFormat="false" ht="15" hidden="false" customHeight="false" outlineLevel="0" collapsed="false">
      <c r="A98" s="66" t="s">
        <v>1874</v>
      </c>
      <c r="B98" s="66" t="s">
        <v>1829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4000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3825200000</v>
      </c>
      <c r="N98" s="60" t="n">
        <f aca="false">SRC_DEM_012*1000000000*G98*365/1000000*H98</f>
        <v>2190000000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0.0675062707396196</v>
      </c>
      <c r="R98" s="65" t="n">
        <f aca="false">E98*(C98*AL_FamGWyr+D98*AL_RefGWyr)</f>
        <v>0.0906847035646163</v>
      </c>
      <c r="S98" s="96" t="n">
        <f aca="false">IF(ISNUMBER(Q98),R98/(R98+Q98),"SLO 不可達")</f>
        <v>0.573260920627556</v>
      </c>
      <c r="T98" s="96" t="n">
        <f aca="false">IF(ISNUMBER(Q98),R98*AL_HoldTrain/(R98*AL_HoldTrain+Q98*(I98*$C$30+J98*$D$30+K98*$E$30+L98*$F$30)),"SLO 不可達")</f>
        <v>0.602500004844985</v>
      </c>
      <c r="U98" s="107" t="n">
        <f aca="false">R98*AL_HoldTrain</f>
        <v>1.15731961755801</v>
      </c>
      <c r="V98" s="64" t="n">
        <f aca="false">(M98+N98)/365/1000000</f>
        <v>16.48</v>
      </c>
    </row>
    <row r="99" customFormat="false" ht="15" hidden="false" customHeight="false" outlineLevel="0" collapsed="false">
      <c r="A99" s="66" t="s">
        <v>1875</v>
      </c>
      <c r="B99" s="66" t="s">
        <v>1829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4000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3825200000</v>
      </c>
      <c r="N99" s="60" t="n">
        <f aca="false">SRC_DEM_012*1000000000*G99*365/1000000*H99</f>
        <v>2190000000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0.0675062707396196</v>
      </c>
      <c r="R99" s="65" t="n">
        <f aca="false">E99*(C99*AL_FamGWyr+D99*AL_RefGWyr)</f>
        <v>0.0906847035646163</v>
      </c>
      <c r="S99" s="96" t="n">
        <f aca="false">IF(ISNUMBER(Q99),R99/(R99+Q99),"SLO 不可達")</f>
        <v>0.573260920627556</v>
      </c>
      <c r="T99" s="96" t="n">
        <f aca="false">IF(ISNUMBER(Q99),R99*AL_HoldTrain/(R99*AL_HoldTrain+Q99*(I99*$C$30+J99*$D$30+K99*$E$30+L99*$F$30)),"SLO 不可達")</f>
        <v>0.602500004844985</v>
      </c>
      <c r="U99" s="107" t="n">
        <f aca="false">R99*AL_HoldTrain</f>
        <v>1.15731961755801</v>
      </c>
      <c r="V99" s="64" t="n">
        <f aca="false">(M99+N99)/365/1000000</f>
        <v>16.48</v>
      </c>
    </row>
    <row r="100" customFormat="false" ht="15" hidden="false" customHeight="false" outlineLevel="0" collapsed="false">
      <c r="A100" s="66" t="s">
        <v>1876</v>
      </c>
      <c r="B100" s="66" t="s">
        <v>1859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4000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3825200000</v>
      </c>
      <c r="N100" s="60" t="n">
        <f aca="false">SRC_DEM_012*1000000000*G100*365/1000000*H100</f>
        <v>2190000000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0.0675062707396196</v>
      </c>
      <c r="R100" s="65" t="n">
        <f aca="false">E100*(C100*AL_FamGWyr+D100*AL_RefGWyr)</f>
        <v>0.0906847035646163</v>
      </c>
      <c r="S100" s="96" t="n">
        <f aca="false">IF(ISNUMBER(Q100),R100/(R100+Q100),"SLO 不可達")</f>
        <v>0.573260920627556</v>
      </c>
      <c r="T100" s="96" t="n">
        <f aca="false">IF(ISNUMBER(Q100),R100*AL_HoldTrain/(R100*AL_HoldTrain+Q100*(I100*$C$30+J100*$D$30+K100*$E$30+L100*$F$30)),"SLO 不可達")</f>
        <v>0.602500004844985</v>
      </c>
      <c r="U100" s="107" t="n">
        <f aca="false">R100*AL_HoldTrain</f>
        <v>1.15731961755801</v>
      </c>
      <c r="V100" s="64" t="n">
        <f aca="false">(M100+N100)/365/1000000</f>
        <v>16.48</v>
      </c>
    </row>
    <row r="101" customFormat="false" ht="15" hidden="false" customHeight="false" outlineLevel="0" collapsed="false">
      <c r="A101" s="66" t="s">
        <v>1877</v>
      </c>
      <c r="B101" s="66" t="s">
        <v>1859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4000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3825200000</v>
      </c>
      <c r="N101" s="60" t="n">
        <f aca="false">SRC_DEM_012*1000000000*G101*365/1000000*H101</f>
        <v>2190000000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0.0675062707396196</v>
      </c>
      <c r="R101" s="65" t="n">
        <f aca="false">E101*(C101*AL_FamGWyr+D101*AL_RefGWyr)</f>
        <v>0.0906847035646163</v>
      </c>
      <c r="S101" s="96" t="n">
        <f aca="false">IF(ISNUMBER(Q101),R101/(R101+Q101),"SLO 不可達")</f>
        <v>0.573260920627556</v>
      </c>
      <c r="T101" s="96" t="n">
        <f aca="false">IF(ISNUMBER(Q101),R101*AL_HoldTrain/(R101*AL_HoldTrain+Q101*(I101*$C$30+J101*$D$30+K101*$E$30+L101*$F$30)),"SLO 不可達")</f>
        <v>0.602500004844985</v>
      </c>
      <c r="U101" s="107" t="n">
        <f aca="false">R101*AL_HoldTrain</f>
        <v>1.15731961755801</v>
      </c>
      <c r="V101" s="64" t="n">
        <f aca="false">(M101+N101)/365/1000000</f>
        <v>16.48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0" t="s">
        <v>1878</v>
      </c>
    </row>
    <row r="2" customFormat="false" ht="15" hidden="false" customHeight="false" outlineLevel="0" collapsed="false">
      <c r="A2" s="66" t="s">
        <v>1879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333</v>
      </c>
      <c r="B50" s="51" t="s">
        <v>83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1" t="s">
        <v>79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723</v>
      </c>
      <c r="B53" s="51" t="s">
        <v>79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725</v>
      </c>
      <c r="B55" s="51" t="s">
        <v>481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741</v>
      </c>
      <c r="B75" s="51" t="s">
        <v>338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745</v>
      </c>
      <c r="B79" s="51" t="s">
        <v>471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746</v>
      </c>
      <c r="B80" s="51" t="s">
        <v>471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749</v>
      </c>
      <c r="B83" s="51" t="s">
        <v>471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751</v>
      </c>
      <c r="B85" s="66" t="s">
        <v>1881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753</v>
      </c>
      <c r="B87" s="66" t="s">
        <v>1881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754</v>
      </c>
      <c r="B88" s="51" t="s">
        <v>338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759</v>
      </c>
      <c r="B93" s="51" t="s">
        <v>760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762</v>
      </c>
      <c r="B95" s="51" t="s">
        <v>338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765</v>
      </c>
      <c r="B98" s="51" t="s">
        <v>1882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769</v>
      </c>
      <c r="B101" s="51" t="s">
        <v>770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772</v>
      </c>
      <c r="B103" s="51" t="s">
        <v>770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0" t="s">
        <v>1883</v>
      </c>
    </row>
    <row r="2" customFormat="false" ht="15" hidden="false" customHeight="false" outlineLevel="0" collapsed="false">
      <c r="A2" s="66" t="s">
        <v>1884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333</v>
      </c>
      <c r="B50" s="51" t="s">
        <v>83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721</v>
      </c>
      <c r="B51" s="51" t="s">
        <v>79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723</v>
      </c>
      <c r="B53" s="51" t="s">
        <v>79</v>
      </c>
      <c r="C53" s="103" t="n">
        <f aca="false">INDEX(Calib!$C$70:$G$70,Perf_Batch!C$6)*Perf_Batch!C52*Perf_Batch_Prod!C50*INDEX(CAL_BatchEtaD,1,Perf_Batch!C$6)</f>
        <v>0.0455876677123516</v>
      </c>
      <c r="D53" s="103" t="n">
        <f aca="false">INDEX(Calib!$C$70:$G$70,Perf_Batch!D$6)*Perf_Batch!D52*Perf_Batch_Prod!D50*INDEX(CAL_BatchEtaD,1,Perf_Batch!D$6)</f>
        <v>0.0455876677123516</v>
      </c>
      <c r="E53" s="103" t="n">
        <f aca="false">INDEX(Calib!$C$70:$G$70,Perf_Batch!E$6)*Perf_Batch!E52*Perf_Batch_Prod!E50*INDEX(CAL_BatchEtaD,1,Perf_Batch!E$6)</f>
        <v>0.0455876677123516</v>
      </c>
      <c r="F53" s="103" t="n">
        <f aca="false">INDEX(Calib!$C$70:$G$70,Perf_Batch!F$6)*Perf_Batch!F52*Perf_Batch_Prod!F50*INDEX(CAL_BatchEtaD,1,Perf_Batch!F$6)</f>
        <v>0.0303917784749011</v>
      </c>
      <c r="G53" s="103" t="n">
        <f aca="false">INDEX(Calib!$C$70:$G$70,Perf_Batch!G$6)*Perf_Batch!G52*Perf_Batch_Prod!G50*INDEX(CAL_BatchEtaD,1,Perf_Batch!G$6)</f>
        <v>0.0303917784749011</v>
      </c>
      <c r="H53" s="103" t="n">
        <f aca="false">INDEX(Calib!$C$70:$G$70,Perf_Batch!H$6)*Perf_Batch!H52*Perf_Batch_Prod!H50*INDEX(CAL_BatchEtaD,1,Perf_Batch!H$6)</f>
        <v>0.0303917784749011</v>
      </c>
      <c r="I53" s="103" t="n">
        <f aca="false">INDEX(Calib!$C$70:$G$70,Perf_Batch!I$6)*Perf_Batch!I52*Perf_Batch_Prod!I50*INDEX(CAL_BatchEtaD,1,Perf_Batch!I$6)</f>
        <v>0.0303917784749011</v>
      </c>
      <c r="J53" s="103" t="n">
        <f aca="false">INDEX(Calib!$C$70:$G$70,Perf_Batch!J$6)*Perf_Batch!J52*Perf_Batch_Prod!J50*INDEX(CAL_BatchEtaD,1,Perf_Batch!J$6)</f>
        <v>0.0303917784749011</v>
      </c>
      <c r="K53" s="103" t="n">
        <f aca="false">INDEX(Calib!$C$70:$G$70,Perf_Batch!K$6)*Perf_Batch!K52*Perf_Batch_Prod!K50*INDEX(CAL_BatchEtaD,1,Perf_Batch!K$6)</f>
        <v>0.0303917784749011</v>
      </c>
      <c r="L53" s="103" t="n">
        <f aca="false">INDEX(Calib!$C$70:$G$70,Perf_Batch!L$6)*Perf_Batch!L52*Perf_Batch_Prod!L50*INDEX(CAL_BatchEtaD,1,Perf_Batch!L$6)</f>
        <v>0.0227938338561758</v>
      </c>
      <c r="M53" s="103" t="n">
        <f aca="false">INDEX(Calib!$C$70:$G$70,Perf_Batch!M$6)*Perf_Batch!M52*Perf_Batch_Prod!M50*INDEX(CAL_BatchEtaD,1,Perf_Batch!M$6)</f>
        <v>0.0227938338561758</v>
      </c>
      <c r="N53" s="103" t="n">
        <f aca="false">INDEX(Calib!$C$70:$G$70,Perf_Batch!N$6)*Perf_Batch!N52*Perf_Batch_Prod!N50*INDEX(CAL_BatchEtaD,1,Perf_Batch!N$6)</f>
        <v>0.0227938338561758</v>
      </c>
      <c r="O53" s="103" t="n">
        <f aca="false">INDEX(Calib!$C$70:$G$70,Perf_Batch!O$6)*Perf_Batch!O52*Perf_Batch_Prod!O50*INDEX(CAL_BatchEtaD,1,Perf_Batch!O$6)</f>
        <v>0.0303917784749011</v>
      </c>
      <c r="P53" s="103" t="n">
        <f aca="false">INDEX(Calib!$C$70:$G$70,Perf_Batch!P$6)*Perf_Batch!P52*Perf_Batch_Prod!P50*INDEX(CAL_BatchEtaD,1,Perf_Batch!P$6)</f>
        <v>0.0303917784749011</v>
      </c>
      <c r="Q53" s="103" t="n">
        <f aca="false">INDEX(Calib!$C$70:$G$70,Perf_Batch!Q$6)*Perf_Batch!Q52*Perf_Batch_Prod!Q50*INDEX(CAL_BatchEtaD,1,Perf_Batch!Q$6)</f>
        <v>0.0303917784749011</v>
      </c>
      <c r="S53" s="103" t="n">
        <f aca="false">INDEX(Calib!$C$70:$G$70,Perf_Batch!C$6)*Perf_Batch!C52*Perf_Batch_Prod!S50*INDEX(CAL_BatchEtaD,1,Perf_Batch!C$6)</f>
        <v>0.0536325502498254</v>
      </c>
      <c r="T53" s="103" t="n">
        <f aca="false">INDEX(Calib!$C$70:$G$70,Perf_Batch!D$6)*Perf_Batch!D52*Perf_Batch_Prod!T50*INDEX(CAL_BatchEtaD,1,Perf_Batch!D$6)</f>
        <v>0.0536325502498254</v>
      </c>
      <c r="U53" s="103" t="n">
        <f aca="false">INDEX(Calib!$C$70:$G$70,Perf_Batch!E$6)*Perf_Batch!E52*Perf_Batch_Prod!U50*INDEX(CAL_BatchEtaD,1,Perf_Batch!E$6)</f>
        <v>0.0536325502498254</v>
      </c>
      <c r="V53" s="103" t="n">
        <f aca="false">INDEX(Calib!$C$70:$G$70,Perf_Batch!F$6)*Perf_Batch!F52*Perf_Batch_Prod!V50*INDEX(CAL_BatchEtaD,1,Perf_Batch!F$6)</f>
        <v>0.0357550334998836</v>
      </c>
      <c r="W53" s="103" t="n">
        <f aca="false">INDEX(Calib!$C$70:$G$70,Perf_Batch!G$6)*Perf_Batch!G52*Perf_Batch_Prod!W50*INDEX(CAL_BatchEtaD,1,Perf_Batch!G$6)</f>
        <v>0.0357550334998836</v>
      </c>
      <c r="X53" s="103" t="n">
        <f aca="false">INDEX(Calib!$C$70:$G$70,Perf_Batch!H$6)*Perf_Batch!H52*Perf_Batch_Prod!X50*INDEX(CAL_BatchEtaD,1,Perf_Batch!H$6)</f>
        <v>0.0357550334998836</v>
      </c>
      <c r="Y53" s="103" t="n">
        <f aca="false">INDEX(Calib!$C$70:$G$70,Perf_Batch!I$6)*Perf_Batch!I52*Perf_Batch_Prod!Y50*INDEX(CAL_BatchEtaD,1,Perf_Batch!I$6)</f>
        <v>0.0357550334998836</v>
      </c>
      <c r="Z53" s="103" t="n">
        <f aca="false">INDEX(Calib!$C$70:$G$70,Perf_Batch!J$6)*Perf_Batch!J52*Perf_Batch_Prod!Z50*INDEX(CAL_BatchEtaD,1,Perf_Batch!J$6)</f>
        <v>0.0357550334998836</v>
      </c>
      <c r="AA53" s="103" t="n">
        <f aca="false">INDEX(Calib!$C$70:$G$70,Perf_Batch!K$6)*Perf_Batch!K52*Perf_Batch_Prod!AA50*INDEX(CAL_BatchEtaD,1,Perf_Batch!K$6)</f>
        <v>0.0357550334998836</v>
      </c>
      <c r="AB53" s="103" t="n">
        <f aca="false">INDEX(Calib!$C$70:$G$70,Perf_Batch!L$6)*Perf_Batch!L52*Perf_Batch_Prod!AB50*INDEX(CAL_BatchEtaD,1,Perf_Batch!L$6)</f>
        <v>0.0268162751249127</v>
      </c>
      <c r="AC53" s="103" t="n">
        <f aca="false">INDEX(Calib!$C$70:$G$70,Perf_Batch!M$6)*Perf_Batch!M52*Perf_Batch_Prod!AC50*INDEX(CAL_BatchEtaD,1,Perf_Batch!M$6)</f>
        <v>0.0268162751249127</v>
      </c>
      <c r="AD53" s="103" t="n">
        <f aca="false">INDEX(Calib!$C$70:$G$70,Perf_Batch!N$6)*Perf_Batch!N52*Perf_Batch_Prod!AD50*INDEX(CAL_BatchEtaD,1,Perf_Batch!N$6)</f>
        <v>0.0268162751249127</v>
      </c>
      <c r="AE53" s="103" t="n">
        <f aca="false">INDEX(Calib!$C$70:$G$70,Perf_Batch!O$6)*Perf_Batch!O52*Perf_Batch_Prod!AE50*INDEX(CAL_BatchEtaD,1,Perf_Batch!O$6)</f>
        <v>0.0357550334998836</v>
      </c>
      <c r="AF53" s="103" t="n">
        <f aca="false">INDEX(Calib!$C$70:$G$70,Perf_Batch!P$6)*Perf_Batch!P52*Perf_Batch_Prod!AF50*INDEX(CAL_BatchEtaD,1,Perf_Batch!P$6)</f>
        <v>0.0357550334998836</v>
      </c>
      <c r="AG53" s="10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3" t="s">
        <v>725</v>
      </c>
      <c r="B55" s="51" t="s">
        <v>481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741</v>
      </c>
      <c r="B75" s="51" t="s">
        <v>338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745</v>
      </c>
      <c r="B79" s="51" t="s">
        <v>471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746</v>
      </c>
      <c r="B80" s="51" t="s">
        <v>471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0.194123661844746</v>
      </c>
      <c r="M80" s="89" t="n">
        <f aca="false">(Perf_Batch!M47+1)*Perf_Batch!M65/(Perf_Batch!M14*Perf_Batch_Prod!M53)/1000</f>
        <v>0.66841006490175</v>
      </c>
      <c r="N80" s="89" t="n">
        <f aca="false">(Perf_Batch!N47+1)*Perf_Batch!N65/(Perf_Batch!N14*Perf_Batch_Prod!N53)/1000</f>
        <v>2.61254250670365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0.165005112568034</v>
      </c>
      <c r="AC80" s="89" t="n">
        <f aca="false">(Perf_Batch!M47+1)*Perf_Batch!M65/(Perf_Batch!M14*Perf_Batch_Prod!AC53)/1000</f>
        <v>0.568148555166487</v>
      </c>
      <c r="AD80" s="89" t="n">
        <f aca="false">(Perf_Batch!N47+1)*Perf_Batch!N65/(Perf_Batch!N14*Perf_Batch_Prod!AD53)/1000</f>
        <v>2.2206611306981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749</v>
      </c>
      <c r="B83" s="51" t="s">
        <v>471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0.194123661844746</v>
      </c>
      <c r="M83" s="89" t="n">
        <f aca="false">MAX(Perf_Batch_Prod!M80,Perf_Batch!M81,Perf_Batch!M82)</f>
        <v>0.66841006490175</v>
      </c>
      <c r="N83" s="89" t="n">
        <f aca="false">MAX(Perf_Batch_Prod!N80,Perf_Batch!N81,Perf_Batch!N82)</f>
        <v>2.61254250670365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0.165005112568034</v>
      </c>
      <c r="AC83" s="89" t="n">
        <f aca="false">MAX(Perf_Batch_Prod!AC80,Perf_Batch!M81,Perf_Batch!M82)</f>
        <v>0.568148555166487</v>
      </c>
      <c r="AD83" s="89" t="n">
        <f aca="false">MAX(Perf_Batch_Prod!AD80,Perf_Batch!N81,Perf_Batch!N82)</f>
        <v>2.2206611306981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751</v>
      </c>
      <c r="B85" s="66" t="s">
        <v>1881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605.070161198981</v>
      </c>
      <c r="M85" s="91" t="n">
        <f aca="false">(1000*Perf_Batch!M49/Perf_Batch!M41-Perf_Batch_Prod!M79)/Perf_Batch_Prod!M83</f>
        <v>168.055171343245</v>
      </c>
      <c r="N85" s="91" t="n">
        <f aca="false">(1000*Perf_Batch!N49/Perf_Batch!N41-Perf_Batch_Prod!N79)/Perf_Batch_Prod!N83</f>
        <v>38.9393642588889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719.7769766194</v>
      </c>
      <c r="AC85" s="91" t="n">
        <f aca="false">(1000*Perf_Batch!M49/Perf_Batch!M41-Perf_Batch_Prod!AC79)/Perf_Batch_Prod!AC83</f>
        <v>200.916139130242</v>
      </c>
      <c r="AD85" s="91" t="n">
        <f aca="false">(1000*Perf_Batch!N49/Perf_Batch!N41-Perf_Batch_Prod!AD79)/Perf_Batch_Prod!AD83</f>
        <v>47.1303448425309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753</v>
      </c>
      <c r="B87" s="66" t="s">
        <v>1881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605.070161198981</v>
      </c>
      <c r="M87" s="152" t="n">
        <f aca="false">MAX(0,MIN(Perf_Batch_Prod!M85,Perf_Batch!M86))</f>
        <v>168.055171343245</v>
      </c>
      <c r="N87" s="152" t="n">
        <f aca="false">MAX(0,MIN(Perf_Batch_Prod!N85,Perf_Batch!N86))</f>
        <v>38.9393642588889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719.7769766194</v>
      </c>
      <c r="AC87" s="152" t="n">
        <f aca="false">MAX(0,MIN(Perf_Batch_Prod!AC85,Perf_Batch!M86))</f>
        <v>200.916139130242</v>
      </c>
      <c r="AD87" s="152" t="n">
        <f aca="false">MAX(0,MIN(Perf_Batch_Prod!AD85,Perf_Batch!N86))</f>
        <v>47.1303448425309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754</v>
      </c>
      <c r="B88" s="51" t="s">
        <v>338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12101.4032239796</v>
      </c>
      <c r="M88" s="157" t="n">
        <f aca="false">IF(Perf_Batch_Prod!M87&gt;0,Perf_Batch_Prod!M87*Perf_Batch!M49/((Perf_Batch_Prod!M79+Perf_Batch_Prod!M87*Perf_Batch_Prod!M83)/1000),0)</f>
        <v>3361.1034268649</v>
      </c>
      <c r="N88" s="157" t="n">
        <f aca="false">IF(Perf_Batch_Prod!N87&gt;0,Perf_Batch_Prod!N87*Perf_Batch!N49/((Perf_Batch_Prod!N79+Perf_Batch_Prod!N87*Perf_Batch_Prod!N83)/1000),0)</f>
        <v>778.787285177779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14395.539532388</v>
      </c>
      <c r="AC88" s="157" t="n">
        <f aca="false">IF(Perf_Batch_Prod!AC87&gt;0,Perf_Batch_Prod!AC87*Perf_Batch!M49/((Perf_Batch_Prod!AC79+Perf_Batch_Prod!AC87*Perf_Batch_Prod!AC83)/1000),0)</f>
        <v>4018.32278260485</v>
      </c>
      <c r="AD88" s="157" t="n">
        <f aca="false">IF(Perf_Batch_Prod!AD87&gt;0,Perf_Batch_Prod!AD87*Perf_Batch!N49/((Perf_Batch_Prod!AD79+Perf_Batch_Prod!AD87*Perf_Batch_Prod!AD83)/1000),0)</f>
        <v>942.606896850618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769</v>
      </c>
      <c r="B101" s="51" t="s">
        <v>770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772</v>
      </c>
      <c r="B103" s="51" t="s">
        <v>770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82.6350450019253</v>
      </c>
      <c r="M103" s="91" t="n">
        <f aca="false">IF(Perf_Batch_Prod!M88&gt;0,1000000/Perf_Batch_Prod!M88,0)</f>
        <v>297.521341356864</v>
      </c>
      <c r="N103" s="91" t="n">
        <f aca="false">IF(Perf_Batch_Prod!N88&gt;0,1000000/Perf_Batch_Prod!N88,0)</f>
        <v>1284.04767133778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69.4659618522901</v>
      </c>
      <c r="AC103" s="91" t="n">
        <f aca="false">IF(Perf_Batch_Prod!AC88&gt;0,1000000/Perf_Batch_Prod!AC88,0)</f>
        <v>248.860047861003</v>
      </c>
      <c r="AD103" s="91" t="n">
        <f aca="false">IF(Perf_Batch_Prod!AD88&gt;0,1000000/Perf_Batch_Prod!AD88,0)</f>
        <v>1060.88763337202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0" t="s">
        <v>1885</v>
      </c>
    </row>
    <row r="2" customFormat="false" ht="15" hidden="false" customHeight="false" outlineLevel="0" collapsed="false">
      <c r="A2" s="66" t="s">
        <v>1886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1005</v>
      </c>
      <c r="B59" s="51" t="s">
        <v>770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82.6350450019253</v>
      </c>
      <c r="M59" s="91" t="n">
        <f aca="false">INDEX(Perf_Batch_Prod!$C$103:$Q$103,3*(Training!M$6-1)+Training!M$7)</f>
        <v>297.521341356864</v>
      </c>
      <c r="N59" s="91" t="n">
        <f aca="false">INDEX(Perf_Batch_Prod!$C$103:$Q$103,3*(Training!N$6-1)+Training!N$7)</f>
        <v>1284.04767133778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69.4659618522901</v>
      </c>
      <c r="AC59" s="91" t="n">
        <f aca="false">INDEX(Perf_Batch_Prod!$S$103:$AG$103,3*(Training!M$6-1)+Training!M$7)</f>
        <v>248.860047861003</v>
      </c>
      <c r="AD59" s="91" t="n">
        <f aca="false">INDEX(Perf_Batch_Prod!$S$103:$AG$103,3*(Training!N$6-1)+Training!N$7)</f>
        <v>1060.88763337202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1006</v>
      </c>
      <c r="B60" s="51" t="s">
        <v>770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1011</v>
      </c>
      <c r="B65" s="51" t="s">
        <v>988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63818.8431395411</v>
      </c>
      <c r="M65" s="55" t="n">
        <f aca="false">(Training!M53*1000000*Training_Prod!M59+Training!M58*1000000*Training_Prod!M60)/3600/Training!M64</f>
        <v>229816.077047376</v>
      </c>
      <c r="N65" s="55" t="n">
        <f aca="false">(Training!N53*1000000*Training_Prod!N59+Training!N58*1000000*Training_Prod!N60)/3600/Training!N64</f>
        <v>4032781.68015017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53649.2093802251</v>
      </c>
      <c r="AC65" s="55" t="n">
        <f aca="false">(Training!M53*1000000*Training_Prod!AC59+Training!M58*1000000*Training_Prod!AC60)/3600/Training!M64</f>
        <v>192233.176009909</v>
      </c>
      <c r="AD65" s="55" t="n">
        <f aca="false">(Training!N53*1000000*Training_Prod!AD59+Training!N58*1000000*Training_Prod!AD60)/3600/Training!N64</f>
        <v>3332012.23278618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1021</v>
      </c>
      <c r="B75" s="51" t="s">
        <v>988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117474.768401351</v>
      </c>
      <c r="M75" s="157" t="n">
        <f aca="false">Training_Prod!M65+Training!M72+Training!M74</f>
        <v>414414.692289046</v>
      </c>
      <c r="N75" s="157" t="n">
        <f aca="false">Training_Prod!N65+Training!N72+Training!N74</f>
        <v>6746268.55253112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107305.134642035</v>
      </c>
      <c r="AC75" s="157" t="n">
        <f aca="false">Training_Prod!AC65+Training!M72+Training!M74</f>
        <v>376831.791251579</v>
      </c>
      <c r="AD75" s="157" t="n">
        <f aca="false">Training_Prod!AD65+Training!N72+Training!N74</f>
        <v>6045499.10516714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1030</v>
      </c>
      <c r="B84" s="51" t="s">
        <v>770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1032</v>
      </c>
      <c r="B86" s="51" t="s">
        <v>988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5400.98333345917</v>
      </c>
      <c r="M86" s="55" t="n">
        <f aca="false">Training!M81*1000000*Training_Prod!M59/3600/Training!M64</f>
        <v>19445.8393043702</v>
      </c>
      <c r="N86" s="55" t="n">
        <f aca="false">Training!N81*1000000*Training_Prod!N59/3600/Training!N64</f>
        <v>83924.6844011622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4540.25894459413</v>
      </c>
      <c r="AC86" s="55" t="n">
        <f aca="false">Training!M81*1000000*Training_Prod!AC59/3600/Training!M64</f>
        <v>16265.3626052943</v>
      </c>
      <c r="AD86" s="55" t="n">
        <f aca="false">Training!N81*1000000*Training_Prod!AD59/3600/Training!N64</f>
        <v>69339.0610047075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1033</v>
      </c>
      <c r="B87" s="51" t="s">
        <v>988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1036</v>
      </c>
      <c r="B90" s="51" t="s">
        <v>988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10249.738358417</v>
      </c>
      <c r="M90" s="55" t="n">
        <f aca="false">Training_Prod!M86+Training_Prod!M87+Training!M89</f>
        <v>36317.8464296758</v>
      </c>
      <c r="N90" s="55" t="n">
        <f aca="false">Training_Prod!N86+Training_Prod!N87+Training!N89</f>
        <v>144192.965469323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9343.76756235674</v>
      </c>
      <c r="AC90" s="55" t="n">
        <f aca="false">Training_Prod!AC86+Training_Prod!AC87+Training!M89</f>
        <v>32953.1612284354</v>
      </c>
      <c r="AD90" s="55" t="n">
        <f aca="false">Training_Prod!AD86+Training_Prod!AD87+Training!N89</f>
        <v>129046.746388834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1041</v>
      </c>
      <c r="B95" s="51" t="s">
        <v>770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1284.04767133778</v>
      </c>
      <c r="M95" s="91" t="n">
        <f aca="false">INDEX(Perf_Batch_Prod!$C$103:$Q$103,3*(Training!M$6-1)+Training!M94)</f>
        <v>1284.04767133778</v>
      </c>
      <c r="N95" s="91" t="n">
        <f aca="false">INDEX(Perf_Batch_Prod!$C$103:$Q$103,3*(Training!N$6-1)+Training!N94)</f>
        <v>1284.04767133778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1060.88763337202</v>
      </c>
      <c r="AC95" s="91" t="n">
        <f aca="false">INDEX(Perf_Batch_Prod!$S$103:$AG$103,3*(Training!M$6-1)+Training!M94)</f>
        <v>1060.88763337202</v>
      </c>
      <c r="AD95" s="91" t="n">
        <f aca="false">INDEX(Perf_Batch_Prod!$S$103:$AG$103,3*(Training!N$6-1)+Training!N94)</f>
        <v>1060.88763337202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1043</v>
      </c>
      <c r="B97" s="51" t="s">
        <v>988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356679.90870494</v>
      </c>
      <c r="M97" s="55" t="n">
        <f aca="false">Training!M93*1000000*Training_Prod!M95/3600</f>
        <v>713359.817409879</v>
      </c>
      <c r="N97" s="55" t="n">
        <f aca="false">Training!N93*1000000*Training_Prod!N95/3600</f>
        <v>1070039.72611482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294691.009270007</v>
      </c>
      <c r="AC97" s="55" t="n">
        <f aca="false">Training!M93*1000000*Training_Prod!AC95/3600</f>
        <v>589382.018540014</v>
      </c>
      <c r="AD97" s="55" t="n">
        <f aca="false">Training!N93*1000000*Training_Prod!AD95/3600</f>
        <v>884073.027810021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1045</v>
      </c>
      <c r="B100" s="51" t="s">
        <v>988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459.08358334403</v>
      </c>
      <c r="M100" s="55" t="n">
        <f aca="false">Training!M99*1000000*Training_Prod!M59/3600</f>
        <v>4132.24085217867</v>
      </c>
      <c r="N100" s="55" t="n">
        <f aca="false">Training!N99*1000000*Training_Prod!N59/3600</f>
        <v>35667.9908704939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385.922010290501</v>
      </c>
      <c r="AC100" s="55" t="n">
        <f aca="false">Training!M99*1000000*Training_Prod!AC59/3600</f>
        <v>3456.38955362504</v>
      </c>
      <c r="AD100" s="55" t="n">
        <f aca="false">Training!N99*1000000*Training_Prod!AD59/3600</f>
        <v>29469.1009270007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1049</v>
      </c>
      <c r="B104" s="51" t="s">
        <v>988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128293.542574537</v>
      </c>
      <c r="M104" s="55" t="n">
        <f aca="false">Training!M51+Training_Prod!M75+Training_Prod!M90</f>
        <v>452684.212033585</v>
      </c>
      <c r="N104" s="55" t="n">
        <f aca="false">Training!N51+Training_Prod!N75+Training_Prod!N90</f>
        <v>6902227.10643078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117217.93801916</v>
      </c>
      <c r="AC104" s="55" t="n">
        <f aca="false">Training!M51+Training_Prod!AC75+Training_Prod!AC90</f>
        <v>411736.625794877</v>
      </c>
      <c r="AD104" s="55" t="n">
        <f aca="false">Training!N51+Training_Prod!AD75+Training_Prod!AD90</f>
        <v>6186311.43998631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1050</v>
      </c>
      <c r="B105" s="51" t="s">
        <v>988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357138.992288284</v>
      </c>
      <c r="M105" s="55" t="n">
        <f aca="false">Training_Prod!M97+Training_Prod!M100</f>
        <v>717492.058262058</v>
      </c>
      <c r="N105" s="55" t="n">
        <f aca="false">Training_Prod!N97+Training_Prod!N100</f>
        <v>1105707.71698531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295076.931280297</v>
      </c>
      <c r="AC105" s="55" t="n">
        <f aca="false">Training_Prod!AC97+Training_Prod!AC100</f>
        <v>592838.408093639</v>
      </c>
      <c r="AD105" s="55" t="n">
        <f aca="false">Training_Prod!AD97+Training_Prod!AD100</f>
        <v>913542.128737021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1051</v>
      </c>
      <c r="B106" s="51" t="s">
        <v>988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777335.314438309</v>
      </c>
      <c r="M106" s="157" t="n">
        <f aca="false">Training!M103+Training_Prod!M104+Training_Prod!M105</f>
        <v>2216890.49599468</v>
      </c>
      <c r="N106" s="157" t="n">
        <f aca="false">Training!N103+Training_Prod!N104+Training_Prod!N105</f>
        <v>13692168.7202768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704197.648874947</v>
      </c>
      <c r="AC106" s="157" t="n">
        <f aca="false">Training!M103+Training_Prod!AC104+Training_Prod!AC105</f>
        <v>2051289.25958755</v>
      </c>
      <c r="AD106" s="157" t="n">
        <f aca="false">Training!N103+Training_Prod!AD104+Training_Prod!AD105</f>
        <v>12784087.465584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1065</v>
      </c>
      <c r="B120" s="51" t="s">
        <v>988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6218682.51550648</v>
      </c>
      <c r="M120" s="157" t="n">
        <f aca="false">Training_Prod!M106*Training!M119</f>
        <v>17735123.9679574</v>
      </c>
      <c r="N120" s="157" t="n">
        <f aca="false">Training_Prod!N106*Training!N119</f>
        <v>109537349.762214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5633581.19099958</v>
      </c>
      <c r="AC120" s="157" t="n">
        <f aca="false">Training_Prod!AC106*Training!M119</f>
        <v>16410314.0767004</v>
      </c>
      <c r="AD120" s="157" t="n">
        <f aca="false">Training_Prod!AD106*Training!N119</f>
        <v>102272699.724672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0" t="s">
        <v>1887</v>
      </c>
    </row>
    <row r="2" customFormat="false" ht="15" hidden="false" customHeight="false" outlineLevel="0" collapsed="false">
      <c r="A2" s="66" t="s">
        <v>1888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822</v>
      </c>
      <c r="B13" s="51" t="s">
        <v>760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824</v>
      </c>
      <c r="B15" s="51" t="s">
        <v>760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825</v>
      </c>
      <c r="B16" s="51" t="s">
        <v>774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827</v>
      </c>
      <c r="B18" s="51" t="s">
        <v>774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822</v>
      </c>
      <c r="B26" s="51" t="s">
        <v>760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824</v>
      </c>
      <c r="B28" s="51" t="s">
        <v>760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825</v>
      </c>
      <c r="B29" s="51" t="s">
        <v>774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827</v>
      </c>
      <c r="B31" s="51" t="s">
        <v>774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822</v>
      </c>
      <c r="B39" s="51" t="s">
        <v>760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824</v>
      </c>
      <c r="B41" s="51" t="s">
        <v>760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825</v>
      </c>
      <c r="B42" s="51" t="s">
        <v>774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827</v>
      </c>
      <c r="B44" s="51" t="s">
        <v>774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0" t="s">
        <v>1889</v>
      </c>
    </row>
    <row r="2" customFormat="false" ht="15" hidden="false" customHeight="false" outlineLevel="0" collapsed="false">
      <c r="A2" s="66" t="s">
        <v>1890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5" t="str">
        <f aca="false">Interface!C4</f>
        <v>Hopper H100</v>
      </c>
      <c r="D4" s="165" t="str">
        <f aca="false">Interface!D4</f>
        <v>Hopper H100</v>
      </c>
      <c r="E4" s="165" t="str">
        <f aca="false">Interface!E4</f>
        <v>Hopper H100</v>
      </c>
      <c r="F4" s="165" t="str">
        <f aca="false">Interface!F4</f>
        <v>GB200 NVL72</v>
      </c>
      <c r="G4" s="165" t="str">
        <f aca="false">Interface!G4</f>
        <v>GB200 NVL72</v>
      </c>
      <c r="H4" s="165" t="str">
        <f aca="false">Interface!H4</f>
        <v>GB200 NVL72</v>
      </c>
      <c r="I4" s="165" t="str">
        <f aca="false">Interface!I4</f>
        <v>GB300 NVL72</v>
      </c>
      <c r="J4" s="165" t="str">
        <f aca="false">Interface!J4</f>
        <v>GB300 NVL72</v>
      </c>
      <c r="K4" s="165" t="str">
        <f aca="false">Interface!K4</f>
        <v>GB300 NVL72</v>
      </c>
      <c r="L4" s="165" t="str">
        <f aca="false">Interface!L4</f>
        <v>VR200 NVL72</v>
      </c>
      <c r="M4" s="165" t="str">
        <f aca="false">Interface!M4</f>
        <v>VR200 NVL72</v>
      </c>
      <c r="N4" s="165" t="str">
        <f aca="false">Interface!N4</f>
        <v>VR200 NVL72</v>
      </c>
      <c r="O4" s="165" t="str">
        <f aca="false">Interface!O4</f>
        <v>Rubin Ultra（MGX NVL 單架，72 GPU）</v>
      </c>
      <c r="P4" s="165" t="str">
        <f aca="false">Interface!P4</f>
        <v>Rubin Ultra（MGX NVL 單架，72 GPU）</v>
      </c>
      <c r="Q4" s="165" t="str">
        <f aca="false">Interface!Q4</f>
        <v>Rubin Ultra（MGX NVL 單架，72 GPU）</v>
      </c>
      <c r="S4" s="165" t="str">
        <f aca="false">Interface!C4</f>
        <v>Hopper H100</v>
      </c>
      <c r="T4" s="165" t="str">
        <f aca="false">Interface!D4</f>
        <v>Hopper H100</v>
      </c>
      <c r="U4" s="165" t="str">
        <f aca="false">Interface!E4</f>
        <v>Hopper H100</v>
      </c>
      <c r="V4" s="165" t="str">
        <f aca="false">Interface!F4</f>
        <v>GB200 NVL72</v>
      </c>
      <c r="W4" s="165" t="str">
        <f aca="false">Interface!G4</f>
        <v>GB200 NVL72</v>
      </c>
      <c r="X4" s="165" t="str">
        <f aca="false">Interface!H4</f>
        <v>GB200 NVL72</v>
      </c>
      <c r="Y4" s="165" t="str">
        <f aca="false">Interface!I4</f>
        <v>GB300 NVL72</v>
      </c>
      <c r="Z4" s="165" t="str">
        <f aca="false">Interface!J4</f>
        <v>GB300 NVL72</v>
      </c>
      <c r="AA4" s="165" t="str">
        <f aca="false">Interface!K4</f>
        <v>GB300 NVL72</v>
      </c>
      <c r="AB4" s="165" t="str">
        <f aca="false">Interface!L4</f>
        <v>VR200 NVL72</v>
      </c>
      <c r="AC4" s="165" t="str">
        <f aca="false">Interface!M4</f>
        <v>VR200 NVL72</v>
      </c>
      <c r="AD4" s="165" t="str">
        <f aca="false">Interface!N4</f>
        <v>VR200 NVL72</v>
      </c>
      <c r="AE4" s="165" t="str">
        <f aca="false">Interface!O4</f>
        <v>Rubin Ultra（MGX NVL 單架，72 GPU）</v>
      </c>
      <c r="AF4" s="165" t="str">
        <f aca="false">Interface!P4</f>
        <v>Rubin Ultra（MGX NVL 單架，72 GPU）</v>
      </c>
      <c r="AG4" s="165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1891</v>
      </c>
      <c r="B21" s="51" t="s">
        <v>1882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1892</v>
      </c>
      <c r="B23" s="51" t="s">
        <v>774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1893</v>
      </c>
      <c r="B25" s="51" t="s">
        <v>774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1894</v>
      </c>
      <c r="B31" s="51" t="s">
        <v>1882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1895</v>
      </c>
      <c r="B33" s="51" t="s">
        <v>774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1896</v>
      </c>
      <c r="B35" s="51" t="s">
        <v>774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1897</v>
      </c>
      <c r="B41" s="51" t="s">
        <v>1882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1898</v>
      </c>
      <c r="B43" s="51" t="s">
        <v>774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1899</v>
      </c>
      <c r="B45" s="51" t="s">
        <v>774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1900</v>
      </c>
      <c r="B60" s="51" t="s">
        <v>844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23.9354124756764</v>
      </c>
      <c r="M60" s="157" t="n">
        <f aca="false">INDEX(Training_Prod!$C$120:$Q$120,3*(Unit_Cost!M$6-1)+1)*Unit_Cost!M$8/1000000</f>
        <v>31.0535762958054</v>
      </c>
      <c r="N60" s="157" t="n">
        <f aca="false">INDEX(Training_Prod!$C$120:$Q$120,3*(Unit_Cost!N$6-1)+1)*Unit_Cost!N$8/1000000</f>
        <v>50.3156114802217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21.6833853771364</v>
      </c>
      <c r="AC60" s="157" t="n">
        <f aca="false">INDEX(Training_Prod!$S$120:$AG$120,3*(Unit_Cost!M$6-1)+1)*Unit_Cost!M$8/1000000</f>
        <v>28.1318177760473</v>
      </c>
      <c r="AD60" s="157" t="n">
        <f aca="false">INDEX(Training_Prod!$S$120:$AG$120,3*(Unit_Cost!N$6-1)+1)*Unit_Cost!N$8/1000000</f>
        <v>45.5815330243681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1901</v>
      </c>
      <c r="B69" s="51" t="s">
        <v>844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68.2616464857014</v>
      </c>
      <c r="M69" s="157" t="n">
        <f aca="false">INDEX(Training_Prod!$C$120:$Q$120,3*(Unit_Cost!M$6-1)+2)*Unit_Cost!M$8/1000000</f>
        <v>88.5620103424234</v>
      </c>
      <c r="N69" s="157" t="n">
        <f aca="false">INDEX(Training_Prod!$C$120:$Q$120,3*(Unit_Cost!N$6-1)+2)*Unit_Cost!N$8/1000000</f>
        <v>143.495604559358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63.1625163853911</v>
      </c>
      <c r="AC69" s="157" t="n">
        <f aca="false">INDEX(Training_Prod!$S$120:$AG$120,3*(Unit_Cost!M$6-1)+2)*Unit_Cost!M$8/1000000</f>
        <v>81.946447490806</v>
      </c>
      <c r="AD69" s="157" t="n">
        <f aca="false">INDEX(Training_Prod!$S$120:$AG$120,3*(Unit_Cost!N$6-1)+2)*Unit_Cost!N$8/1000000</f>
        <v>132.776514204218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1902</v>
      </c>
      <c r="B78" s="51" t="s">
        <v>844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421.604036146472</v>
      </c>
      <c r="M78" s="157" t="n">
        <f aca="false">INDEX(Training_Prod!$C$120:$Q$120,3*(Unit_Cost!M$6-1)+3)*Unit_Cost!M$8/1000000</f>
        <v>546.985063090039</v>
      </c>
      <c r="N78" s="157" t="n">
        <f aca="false">INDEX(Training_Prod!$C$120:$Q$120,3*(Unit_Cost!N$6-1)+3)*Unit_Cost!N$8/1000000</f>
        <v>886.271122454921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393.64274455353</v>
      </c>
      <c r="AC78" s="157" t="n">
        <f aca="false">INDEX(Training_Prod!$S$120:$AG$120,3*(Unit_Cost!M$6-1)+3)*Unit_Cost!M$8/1000000</f>
        <v>510.708349551341</v>
      </c>
      <c r="AD78" s="157" t="n">
        <f aca="false">INDEX(Training_Prod!$S$120:$AG$120,3*(Unit_Cost!N$6-1)+3)*Unit_Cost!N$8/1000000</f>
        <v>827.492545494721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0" t="s">
        <v>1903</v>
      </c>
    </row>
    <row r="2" customFormat="false" ht="15" hidden="false" customHeight="false" outlineLevel="0" collapsed="false">
      <c r="A2" s="66" t="s">
        <v>1904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1319</v>
      </c>
      <c r="B18" s="66" t="s">
        <v>1320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1321</v>
      </c>
      <c r="B19" s="51" t="s">
        <v>1882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1322</v>
      </c>
      <c r="B20" s="51" t="s">
        <v>1882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1323</v>
      </c>
      <c r="B21" s="51" t="s">
        <v>1882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1324</v>
      </c>
      <c r="B22" s="51" t="s">
        <v>1882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1326</v>
      </c>
      <c r="B24" s="51" t="s">
        <v>1882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1327</v>
      </c>
      <c r="B25" s="51" t="s">
        <v>1882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1329</v>
      </c>
      <c r="B27" s="51" t="s">
        <v>1882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1330</v>
      </c>
      <c r="B28" s="51" t="s">
        <v>1882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0" t="s">
        <v>1905</v>
      </c>
    </row>
    <row r="2" customFormat="false" ht="15" hidden="false" customHeight="false" outlineLevel="0" collapsed="false">
      <c r="A2" s="66" t="s">
        <v>1906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1339</v>
      </c>
      <c r="B10" s="51" t="s">
        <v>844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23.9354124756764</v>
      </c>
      <c r="M10" s="91" t="n">
        <f aca="false">INDEX(Interface_Prod!$C$60:$Q$60,1,Amortize!M$7)</f>
        <v>31.0535762958054</v>
      </c>
      <c r="N10" s="91" t="n">
        <f aca="false">INDEX(Interface_Prod!$C$60:$Q$60,1,Amortize!N$7)</f>
        <v>50.3156114802217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21.6833853771364</v>
      </c>
      <c r="AC10" s="91" t="n">
        <f aca="false">INDEX(Interface_Prod!$S$60:$AG$60,1,Amortize!M$7)</f>
        <v>28.1318177760473</v>
      </c>
      <c r="AD10" s="91" t="n">
        <f aca="false">INDEX(Interface_Prod!$S$60:$AG$60,1,Amortize!N$7)</f>
        <v>45.5815330243681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1340</v>
      </c>
      <c r="B11" s="51" t="s">
        <v>1882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1341</v>
      </c>
      <c r="B12" s="51" t="s">
        <v>1342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1343</v>
      </c>
      <c r="B13" s="51" t="s">
        <v>774</v>
      </c>
      <c r="C13" s="166" t="n">
        <f aca="false">IF(ISNUMBER(Amortize_Prod!C12),IF(Amortize_Prod!C12&gt;0,Amortize_Prod!C10*1000000/Amortize_Prod!C12,0),"SLO 不可達")</f>
        <v>0.0137367452044037</v>
      </c>
      <c r="D13" s="166" t="n">
        <f aca="false">IF(ISNUMBER(Amortize_Prod!D12),IF(Amortize_Prod!D12&gt;0,Amortize_Prod!D10*1000000/Amortize_Prod!D12,0),"SLO 不可達")</f>
        <v>0.019811787079967</v>
      </c>
      <c r="E13" s="166" t="n">
        <f aca="false">IF(ISNUMBER(Amortize_Prod!E12),IF(Amortize_Prod!E12&gt;0,Amortize_Prod!E10*1000000/Amortize_Prod!E12,0),"SLO 不可達")</f>
        <v>0.0341571319879238</v>
      </c>
      <c r="F13" s="166" t="n">
        <f aca="false">IF(ISNUMBER(Amortize_Prod!F12),IF(Amortize_Prod!F12&gt;0,Amortize_Prod!F10*1000000/Amortize_Prod!F12,0),"SLO 不可達")</f>
        <v>0.00107385782539187</v>
      </c>
      <c r="G13" s="166" t="n">
        <f aca="false">IF(ISNUMBER(Amortize_Prod!G12),IF(Amortize_Prod!G12&gt;0,Amortize_Prod!G10*1000000/Amortize_Prod!G12,0),"SLO 不可達")</f>
        <v>0.00144548501003224</v>
      </c>
      <c r="H13" s="166" t="n">
        <f aca="false">IF(ISNUMBER(Amortize_Prod!H12),IF(Amortize_Prod!H12&gt;0,Amortize_Prod!H10*1000000/Amortize_Prod!H12,0),"SLO 不可達")</f>
        <v>0.00235162142700537</v>
      </c>
      <c r="I13" s="166" t="n">
        <f aca="false">IF(ISNUMBER(Amortize_Prod!I12),IF(Amortize_Prod!I12&gt;0,Amortize_Prod!I10*1000000/Amortize_Prod!I12,0),"SLO 不可達")</f>
        <v>0.000828340949920383</v>
      </c>
      <c r="J13" s="166" t="n">
        <f aca="false">IF(ISNUMBER(Amortize_Prod!J12),IF(Amortize_Prod!J12&gt;0,Amortize_Prod!J10*1000000/Amortize_Prod!J12,0),"SLO 不可達")</f>
        <v>0.00121050403402245</v>
      </c>
      <c r="K13" s="166" t="n">
        <f aca="false">IF(ISNUMBER(Amortize_Prod!K12),IF(Amortize_Prod!K12&gt;0,Amortize_Prod!K10*1000000/Amortize_Prod!K12,0),"SLO 不可達")</f>
        <v>0.00227092889256221</v>
      </c>
      <c r="L13" s="166" t="n">
        <f aca="false">IF(ISNUMBER(Amortize_Prod!L12),IF(Amortize_Prod!L12&gt;0,Amortize_Prod!L10*1000000/Amortize_Prod!L12,0),"SLO 不可達")</f>
        <v>0.000408032834961033</v>
      </c>
      <c r="M13" s="166" t="n">
        <f aca="false">IF(ISNUMBER(Amortize_Prod!M12),IF(Amortize_Prod!M12&gt;0,Amortize_Prod!M10*1000000/Amortize_Prod!M12,0),"SLO 不可達")</f>
        <v>0.000529377915861387</v>
      </c>
      <c r="N13" s="166" t="n">
        <f aca="false">IF(ISNUMBER(Amortize_Prod!N12),IF(Amortize_Prod!N12&gt;0,Amortize_Prod!N10*1000000/Amortize_Prod!N12,0),"SLO 不可達")</f>
        <v>0.000857742544271429</v>
      </c>
      <c r="O13" s="166" t="n">
        <f aca="false">IF(ISNUMBER(Amortize_Prod!O12),IF(Amortize_Prod!O12&gt;0,Amortize_Prod!O10*1000000/Amortize_Prod!O12,0),"SLO 不可達")</f>
        <v>0.000202484465549214</v>
      </c>
      <c r="P13" s="166" t="n">
        <f aca="false">IF(ISNUMBER(Amortize_Prod!P12),IF(Amortize_Prod!P12&gt;0,Amortize_Prod!P10*1000000/Amortize_Prod!P12,0),"SLO 不可達")</f>
        <v>0.00031130311259117</v>
      </c>
      <c r="Q13" s="166" t="n">
        <f aca="false">IF(ISNUMBER(Amortize_Prod!Q12),IF(Amortize_Prod!Q12&gt;0,Amortize_Prod!Q10*1000000/Amortize_Prod!Q12,0),"SLO 不可達")</f>
        <v>0.000570605063584694</v>
      </c>
      <c r="S13" s="166" t="n">
        <f aca="false">IF(ISNUMBER(Amortize_Prod!S12),IF(Amortize_Prod!S12&gt;0,Amortize_Prod!S10*1000000/Amortize_Prod!S12,0),"SLO 不可達")</f>
        <v>0.00827712249384378</v>
      </c>
      <c r="T13" s="166" t="n">
        <f aca="false">IF(ISNUMBER(Amortize_Prod!T12),IF(Amortize_Prod!T12&gt;0,Amortize_Prod!T10*1000000/Amortize_Prod!T12,0),"SLO 不可達")</f>
        <v>0.011937659616069</v>
      </c>
      <c r="U13" s="166" t="n">
        <f aca="false">IF(ISNUMBER(Amortize_Prod!U12),IF(Amortize_Prod!U12&gt;0,Amortize_Prod!U10*1000000/Amortize_Prod!U12,0),"SLO 不可達")</f>
        <v>0.0205814959290211</v>
      </c>
      <c r="V13" s="166" t="n">
        <f aca="false">IF(ISNUMBER(Amortize_Prod!V12),IF(Amortize_Prod!V12&gt;0,Amortize_Prod!V10*1000000/Amortize_Prod!V12,0),"SLO 不可達")</f>
        <v>0.000765657663895297</v>
      </c>
      <c r="W13" s="166" t="n">
        <f aca="false">IF(ISNUMBER(Amortize_Prod!W12),IF(Amortize_Prod!W12&gt;0,Amortize_Prod!W10*1000000/Amortize_Prod!W12,0),"SLO 不可達")</f>
        <v>0.00103062682024325</v>
      </c>
      <c r="X13" s="166" t="n">
        <f aca="false">IF(ISNUMBER(Amortize_Prod!X12),IF(Amortize_Prod!X12&gt;0,Amortize_Prod!X10*1000000/Amortize_Prod!X12,0),"SLO 不可達")</f>
        <v>0.00167669958312219</v>
      </c>
      <c r="Y13" s="166" t="n">
        <f aca="false">IF(ISNUMBER(Amortize_Prod!Y12),IF(Amortize_Prod!Y12&gt;0,Amortize_Prod!Y10*1000000/Amortize_Prod!Y12,0),"SLO 不可達")</f>
        <v>0.000598840897771404</v>
      </c>
      <c r="Z13" s="166" t="n">
        <f aca="false">IF(ISNUMBER(Amortize_Prod!Z12),IF(Amortize_Prod!Z12&gt;0,Amortize_Prod!Z10*1000000/Amortize_Prod!Z12,0),"SLO 不可達")</f>
        <v>0.000875121919977013</v>
      </c>
      <c r="AA13" s="166" t="n">
        <f aca="false">IF(ISNUMBER(Amortize_Prod!AA12),IF(Amortize_Prod!AA12&gt;0,Amortize_Prod!AA10*1000000/Amortize_Prod!AA12,0),"SLO 不可達")</f>
        <v>0.00164174558426417</v>
      </c>
      <c r="AB13" s="166" t="n">
        <f aca="false">IF(ISNUMBER(Amortize_Prod!AB12),IF(Amortize_Prod!AB12&gt;0,Amortize_Prod!AB10*1000000/Amortize_Prod!AB12,0),"SLO 不可達")</f>
        <v>0.000292417363804563</v>
      </c>
      <c r="AC13" s="166" t="n">
        <f aca="false">IF(ISNUMBER(Amortize_Prod!AC12),IF(Amortize_Prod!AC12&gt;0,Amortize_Prod!AC10*1000000/Amortize_Prod!AC12,0),"SLO 不可達")</f>
        <v>0.000379379504169864</v>
      </c>
      <c r="AD13" s="166" t="n">
        <f aca="false">IF(ISNUMBER(Amortize_Prod!AD12),IF(Amortize_Prod!AD12&gt;0,Amortize_Prod!AD10*1000000/Amortize_Prod!AD12,0),"SLO 不可達")</f>
        <v>0.00061470252422902</v>
      </c>
      <c r="AE13" s="166" t="n">
        <f aca="false">IF(ISNUMBER(Amortize_Prod!AE12),IF(Amortize_Prod!AE12&gt;0,Amortize_Prod!AE10*1000000/Amortize_Prod!AE12,0),"SLO 不可達")</f>
        <v>0.000147693950614538</v>
      </c>
      <c r="AF13" s="166" t="n">
        <f aca="false">IF(ISNUMBER(Amortize_Prod!AF12),IF(Amortize_Prod!AF12&gt;0,Amortize_Prod!AF10*1000000/Amortize_Prod!AF12,0),"SLO 不可達")</f>
        <v>0.000227067229145128</v>
      </c>
      <c r="AG13" s="166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1344</v>
      </c>
      <c r="B14" s="51" t="s">
        <v>774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1339</v>
      </c>
      <c r="B19" s="51" t="s">
        <v>844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68.2616464857014</v>
      </c>
      <c r="M19" s="91" t="n">
        <f aca="false">INDEX(Interface_Prod!$C$69:$Q$69,1,Amortize!M$7)</f>
        <v>88.5620103424234</v>
      </c>
      <c r="N19" s="91" t="n">
        <f aca="false">INDEX(Interface_Prod!$C$69:$Q$69,1,Amortize!N$7)</f>
        <v>143.495604559358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63.1625163853911</v>
      </c>
      <c r="AC19" s="91" t="n">
        <f aca="false">INDEX(Interface_Prod!$S$69:$AG$69,1,Amortize!M$7)</f>
        <v>81.946447490806</v>
      </c>
      <c r="AD19" s="91" t="n">
        <f aca="false">INDEX(Interface_Prod!$S$69:$AG$69,1,Amortize!N$7)</f>
        <v>132.776514204218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1340</v>
      </c>
      <c r="B20" s="51" t="s">
        <v>1882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1341</v>
      </c>
      <c r="B21" s="51" t="s">
        <v>1342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1347</v>
      </c>
      <c r="B22" s="51" t="s">
        <v>774</v>
      </c>
      <c r="C22" s="166" t="n">
        <f aca="false">IF(ISNUMBER(Amortize_Prod!C21),IF(Amortize_Prod!C21&gt;0,Amortize_Prod!C19*1000000/Amortize_Prod!C21,0),"SLO 不可達")</f>
        <v>0.181760856320842</v>
      </c>
      <c r="D22" s="166" t="n">
        <f aca="false">IF(ISNUMBER(Amortize_Prod!D21),IF(Amortize_Prod!D21&gt;0,Amortize_Prod!D19*1000000/Amortize_Prod!D21,0),"SLO 不可達")</f>
        <v>0.262144149237521</v>
      </c>
      <c r="E22" s="166" t="n">
        <f aca="false">IF(ISNUMBER(Amortize_Prod!E21),IF(Amortize_Prod!E21&gt;0,Amortize_Prod!E19*1000000/Amortize_Prod!E21,0),"SLO 不可達")</f>
        <v>0.451957830418138</v>
      </c>
      <c r="F22" s="166" t="n">
        <f aca="false">IF(ISNUMBER(Amortize_Prod!F21),IF(Amortize_Prod!F21&gt;0,Amortize_Prod!F19*1000000/Amortize_Prod!F21,0),"SLO 不可達")</f>
        <v>0.0134644392319743</v>
      </c>
      <c r="G22" s="166" t="n">
        <f aca="false">IF(ISNUMBER(Amortize_Prod!G21),IF(Amortize_Prod!G21&gt;0,Amortize_Prod!G19*1000000/Amortize_Prod!G21,0),"SLO 不可達")</f>
        <v>0.0181240426973716</v>
      </c>
      <c r="H22" s="166" t="n">
        <f aca="false">IF(ISNUMBER(Amortize_Prod!H21),IF(Amortize_Prod!H21&gt;0,Amortize_Prod!H19*1000000/Amortize_Prod!H21,0),"SLO 不可達")</f>
        <v>0.029485526902938</v>
      </c>
      <c r="I22" s="166" t="n">
        <f aca="false">IF(ISNUMBER(Amortize_Prod!I21),IF(Amortize_Prod!I21&gt;0,Amortize_Prod!I19*1000000/Amortize_Prod!I21,0),"SLO 不可達")</f>
        <v>0.01152898815347</v>
      </c>
      <c r="J22" s="166" t="n">
        <f aca="false">IF(ISNUMBER(Amortize_Prod!J21),IF(Amortize_Prod!J21&gt;0,Amortize_Prod!J19*1000000/Amortize_Prod!J21,0),"SLO 不可達")</f>
        <v>0.0168479980004778</v>
      </c>
      <c r="K22" s="166" t="n">
        <f aca="false">IF(ISNUMBER(Amortize_Prod!K21),IF(Amortize_Prod!K21&gt;0,Amortize_Prod!K19*1000000/Amortize_Prod!K21,0),"SLO 不可達")</f>
        <v>0.0316071688864821</v>
      </c>
      <c r="L22" s="166" t="n">
        <f aca="false">IF(ISNUMBER(Amortize_Prod!L21),IF(Amortize_Prod!L21&gt;0,Amortize_Prod!L19*1000000/Amortize_Prod!L21,0),"SLO 不可達")</f>
        <v>0.00473985555045092</v>
      </c>
      <c r="M22" s="166" t="n">
        <f aca="false">IF(ISNUMBER(Amortize_Prod!M21),IF(Amortize_Prod!M21&gt;0,Amortize_Prod!M19*1000000/Amortize_Prod!M21,0),"SLO 不可達")</f>
        <v>0.00614944347069852</v>
      </c>
      <c r="N22" s="166" t="n">
        <f aca="false">IF(ISNUMBER(Amortize_Prod!N21),IF(Amortize_Prod!N21&gt;0,Amortize_Prod!N19*1000000/Amortize_Prod!N21,0),"SLO 不可達")</f>
        <v>0.00996384460018048</v>
      </c>
      <c r="O22" s="166" t="n">
        <f aca="false">IF(ISNUMBER(Amortize_Prod!O21),IF(Amortize_Prod!O21&gt;0,Amortize_Prod!O19*1000000/Amortize_Prod!O21,0),"SLO 不可達")</f>
        <v>0.00237928504100572</v>
      </c>
      <c r="P22" s="166" t="n">
        <f aca="false">IF(ISNUMBER(Amortize_Prod!P21),IF(Amortize_Prod!P21&gt;0,Amortize_Prod!P19*1000000/Amortize_Prod!P21,0),"SLO 不可達")</f>
        <v>0.00365795389289588</v>
      </c>
      <c r="Q22" s="166" t="n">
        <f aca="false">IF(ISNUMBER(Amortize_Prod!Q21),IF(Amortize_Prod!Q21&gt;0,Amortize_Prod!Q19*1000000/Amortize_Prod!Q21,0),"SLO 不可達")</f>
        <v>0.00670487036339688</v>
      </c>
      <c r="S22" s="166" t="n">
        <f aca="false">IF(ISNUMBER(Amortize_Prod!S21),IF(Amortize_Prod!S21&gt;0,Amortize_Prod!S19*1000000/Amortize_Prod!S21,0),"SLO 不可達")</f>
        <v>0.101738122291778</v>
      </c>
      <c r="T22" s="166" t="n">
        <f aca="false">IF(ISNUMBER(Amortize_Prod!T21),IF(Amortize_Prod!T21&gt;0,Amortize_Prod!T19*1000000/Amortize_Prod!T21,0),"SLO 不可達")</f>
        <v>0.146731557349859</v>
      </c>
      <c r="U22" s="166" t="n">
        <f aca="false">IF(ISNUMBER(Amortize_Prod!U21),IF(Amortize_Prod!U21&gt;0,Amortize_Prod!U19*1000000/Amortize_Prod!U21,0),"SLO 不可達")</f>
        <v>0.252977136840958</v>
      </c>
      <c r="V22" s="166" t="n">
        <f aca="false">IF(ISNUMBER(Amortize_Prod!V21),IF(Amortize_Prod!V21&gt;0,Amortize_Prod!V19*1000000/Amortize_Prod!V21,0),"SLO 不可達")</f>
        <v>0.00963802065932426</v>
      </c>
      <c r="W22" s="166" t="n">
        <f aca="false">IF(ISNUMBER(Amortize_Prod!W21),IF(Amortize_Prod!W21&gt;0,Amortize_Prod!W19*1000000/Amortize_Prod!W21,0),"SLO 不可達")</f>
        <v>0.0129734254014029</v>
      </c>
      <c r="X22" s="166" t="n">
        <f aca="false">IF(ISNUMBER(Amortize_Prod!X21),IF(Amortize_Prod!X21&gt;0,Amortize_Prod!X19*1000000/Amortize_Prod!X21,0),"SLO 不可達")</f>
        <v>0.0211061235113842</v>
      </c>
      <c r="Y22" s="166" t="n">
        <f aca="false">IF(ISNUMBER(Amortize_Prod!Y21),IF(Amortize_Prod!Y21&gt;0,Amortize_Prod!Y19*1000000/Amortize_Prod!Y21,0),"SLO 不可達")</f>
        <v>0.00823722742149252</v>
      </c>
      <c r="Z22" s="166" t="n">
        <f aca="false">IF(ISNUMBER(Amortize_Prod!Z21),IF(Amortize_Prod!Z21&gt;0,Amortize_Prod!Z19*1000000/Amortize_Prod!Z21,0),"SLO 不可達")</f>
        <v>0.0120375517156739</v>
      </c>
      <c r="AA22" s="166" t="n">
        <f aca="false">IF(ISNUMBER(Amortize_Prod!AA21),IF(Amortize_Prod!AA21&gt;0,Amortize_Prod!AA19*1000000/Amortize_Prod!AA21,0),"SLO 不可達")</f>
        <v>0.0225826789655528</v>
      </c>
      <c r="AB22" s="166" t="n">
        <f aca="false">IF(ISNUMBER(Amortize_Prod!AB21),IF(Amortize_Prod!AB21&gt;0,Amortize_Prod!AB19*1000000/Amortize_Prod!AB21,0),"SLO 不可達")</f>
        <v>0.00344822951444708</v>
      </c>
      <c r="AC22" s="166" t="n">
        <f aca="false">IF(ISNUMBER(Amortize_Prod!AC21),IF(Amortize_Prod!AC21&gt;0,Amortize_Prod!AC19*1000000/Amortize_Prod!AC21,0),"SLO 不可達")</f>
        <v>0.00447370014705813</v>
      </c>
      <c r="AD22" s="166" t="n">
        <f aca="false">IF(ISNUMBER(Amortize_Prod!AD21),IF(Amortize_Prod!AD21&gt;0,Amortize_Prod!AD19*1000000/Amortize_Prod!AD21,0),"SLO 不可達")</f>
        <v>0.00724866457680086</v>
      </c>
      <c r="AE22" s="166" t="n">
        <f aca="false">IF(ISNUMBER(Amortize_Prod!AE21),IF(Amortize_Prod!AE21&gt;0,Amortize_Prod!AE19*1000000/Amortize_Prod!AE21,0),"SLO 不可達")</f>
        <v>0.00176605230692287</v>
      </c>
      <c r="AF22" s="166" t="n">
        <f aca="false">IF(ISNUMBER(Amortize_Prod!AF21),IF(Amortize_Prod!AF21&gt;0,Amortize_Prod!AF19*1000000/Amortize_Prod!AF21,0),"SLO 不可達")</f>
        <v>0.00271515930198745</v>
      </c>
      <c r="AG22" s="166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1344</v>
      </c>
      <c r="B23" s="51" t="s">
        <v>774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1339</v>
      </c>
      <c r="B29" s="51" t="s">
        <v>844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421.604036146472</v>
      </c>
      <c r="M29" s="91" t="n">
        <f aca="false">INDEX(Interface_Prod!$C$78:$Q$78,1,Amortize!M$7)</f>
        <v>546.985063090039</v>
      </c>
      <c r="N29" s="91" t="n">
        <f aca="false">INDEX(Interface_Prod!$C$78:$Q$78,1,Amortize!N$7)</f>
        <v>886.271122454921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393.64274455353</v>
      </c>
      <c r="AC29" s="91" t="n">
        <f aca="false">INDEX(Interface_Prod!$S$78:$AG$78,1,Amortize!M$7)</f>
        <v>510.708349551341</v>
      </c>
      <c r="AD29" s="91" t="n">
        <f aca="false">INDEX(Interface_Prod!$S$78:$AG$78,1,Amortize!N$7)</f>
        <v>827.492545494721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1340</v>
      </c>
      <c r="B30" s="51" t="s">
        <v>1882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1341</v>
      </c>
      <c r="B31" s="51" t="s">
        <v>1342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1350</v>
      </c>
      <c r="B32" s="51" t="s">
        <v>774</v>
      </c>
      <c r="C32" s="166" t="n">
        <f aca="false">IF(ISNUMBER(Amortize_Prod!C31),IF(Amortize_Prod!C31&gt;0,Amortize_Prod!C29*1000000/Amortize_Prod!C31,0),"SLO 不可達")</f>
        <v>8.49473494122159</v>
      </c>
      <c r="D32" s="166" t="n">
        <f aca="false">IF(ISNUMBER(Amortize_Prod!D31),IF(Amortize_Prod!D31&gt;0,Amortize_Prod!D29*1000000/Amortize_Prod!D31,0),"SLO 不可達")</f>
        <v>12.2515106345779</v>
      </c>
      <c r="E32" s="166" t="n">
        <f aca="false">IF(ISNUMBER(Amortize_Prod!E31),IF(Amortize_Prod!E31&gt;0,Amortize_Prod!E29*1000000/Amortize_Prod!E31,0),"SLO 不可達")</f>
        <v>21.1226006067811</v>
      </c>
      <c r="F32" s="166" t="n">
        <f aca="false">IF(ISNUMBER(Amortize_Prod!F31),IF(Amortize_Prod!F31&gt;0,Amortize_Prod!F29*1000000/Amortize_Prod!F31,0),"SLO 不可達")</f>
        <v>0.582938741544595</v>
      </c>
      <c r="G32" s="166" t="n">
        <f aca="false">IF(ISNUMBER(Amortize_Prod!G31),IF(Amortize_Prod!G31&gt;0,Amortize_Prod!G29*1000000/Amortize_Prod!G31,0),"SLO 不可達")</f>
        <v>0.784674835667632</v>
      </c>
      <c r="H32" s="166" t="n">
        <f aca="false">IF(ISNUMBER(Amortize_Prod!H31),IF(Amortize_Prod!H31&gt;0,Amortize_Prod!H29*1000000/Amortize_Prod!H31,0),"SLO 不可達")</f>
        <v>1.27656678829673</v>
      </c>
      <c r="I32" s="166" t="n">
        <f aca="false">IF(ISNUMBER(Amortize_Prod!I31),IF(Amortize_Prod!I31&gt;0,Amortize_Prod!I29*1000000/Amortize_Prod!I31,0),"SLO 不可達")</f>
        <v>0.543790027090502</v>
      </c>
      <c r="J32" s="166" t="n">
        <f aca="false">IF(ISNUMBER(Amortize_Prod!J31),IF(Amortize_Prod!J31&gt;0,Amortize_Prod!J29*1000000/Amortize_Prod!J31,0),"SLO 不可達")</f>
        <v>0.794672799307457</v>
      </c>
      <c r="K32" s="166" t="n">
        <f aca="false">IF(ISNUMBER(Amortize_Prod!K31),IF(Amortize_Prod!K31&gt;0,Amortize_Prod!K29*1000000/Amortize_Prod!K31,0),"SLO 不可達")</f>
        <v>1.49082148374495</v>
      </c>
      <c r="L32" s="166" t="n">
        <f aca="false">IF(ISNUMBER(Amortize_Prod!L31),IF(Amortize_Prod!L31&gt;0,Amortize_Prod!L29*1000000/Amortize_Prod!L31,0),"SLO 不可達")</f>
        <v>0.192782321685446</v>
      </c>
      <c r="M32" s="166" t="n">
        <f aca="false">IF(ISNUMBER(Amortize_Prod!M31),IF(Amortize_Prod!M31&gt;0,Amortize_Prod!M29*1000000/Amortize_Prod!M31,0),"SLO 不可達")</f>
        <v>0.250113948987725</v>
      </c>
      <c r="N32" s="166" t="n">
        <f aca="false">IF(ISNUMBER(Amortize_Prod!N31),IF(Amortize_Prod!N31&gt;0,Amortize_Prod!N29*1000000/Amortize_Prod!N31,0),"SLO 不可達")</f>
        <v>0.405255618971985</v>
      </c>
      <c r="O32" s="166" t="n">
        <f aca="false">IF(ISNUMBER(Amortize_Prod!O31),IF(Amortize_Prod!O31&gt;0,Amortize_Prod!O29*1000000/Amortize_Prod!O31,0),"SLO 不可達")</f>
        <v>0.0964081493499897</v>
      </c>
      <c r="P32" s="166" t="n">
        <f aca="false">IF(ISNUMBER(Amortize_Prod!P31),IF(Amortize_Prod!P31&gt;0,Amortize_Prod!P29*1000000/Amortize_Prod!P31,0),"SLO 不可達")</f>
        <v>0.148219552993371</v>
      </c>
      <c r="Q32" s="166" t="n">
        <f aca="false">IF(ISNUMBER(Amortize_Prod!Q31),IF(Amortize_Prod!Q31&gt;0,Amortize_Prod!Q29*1000000/Amortize_Prod!Q31,0),"SLO 不可達")</f>
        <v>0.271679993034148</v>
      </c>
      <c r="S32" s="166" t="n">
        <f aca="false">IF(ISNUMBER(Amortize_Prod!S31),IF(Amortize_Prod!S31&gt;0,Amortize_Prod!S29*1000000/Amortize_Prod!S31,0),"SLO 不可達")</f>
        <v>4.34635141236617</v>
      </c>
      <c r="T32" s="166" t="n">
        <f aca="false">IF(ISNUMBER(Amortize_Prod!T31),IF(Amortize_Prod!T31&gt;0,Amortize_Prod!T29*1000000/Amortize_Prod!T31,0),"SLO 不可達")</f>
        <v>6.26851466451514</v>
      </c>
      <c r="U32" s="166" t="n">
        <f aca="false">IF(ISNUMBER(Amortize_Prod!U31),IF(Amortize_Prod!U31&gt;0,Amortize_Prod!U29*1000000/Amortize_Prod!U31,0),"SLO 不可達")</f>
        <v>10.8074290269647</v>
      </c>
      <c r="V32" s="166" t="n">
        <f aca="false">IF(ISNUMBER(Amortize_Prod!V31),IF(Amortize_Prod!V31&gt;0,Amortize_Prod!V29*1000000/Amortize_Prod!V31,0),"SLO 不可達")</f>
        <v>0.414337994967339</v>
      </c>
      <c r="W32" s="166" t="n">
        <f aca="false">IF(ISNUMBER(Amortize_Prod!W31),IF(Amortize_Prod!W31&gt;0,Amortize_Prod!W29*1000000/Amortize_Prod!W31,0),"SLO 不可達")</f>
        <v>0.557726867235468</v>
      </c>
      <c r="X32" s="166" t="n">
        <f aca="false">IF(ISNUMBER(Amortize_Prod!X31),IF(Amortize_Prod!X31&gt;0,Amortize_Prod!X29*1000000/Amortize_Prod!X31,0),"SLO 不可達")</f>
        <v>0.907351125957547</v>
      </c>
      <c r="Y32" s="166" t="n">
        <f aca="false">IF(ISNUMBER(Amortize_Prod!Y31),IF(Amortize_Prod!Y31&gt;0,Amortize_Prod!Y29*1000000/Amortize_Prod!Y31,0),"SLO 不可達")</f>
        <v>0.378946392813096</v>
      </c>
      <c r="Z32" s="166" t="n">
        <f aca="false">IF(ISNUMBER(Amortize_Prod!Z31),IF(Amortize_Prod!Z31&gt;0,Amortize_Prod!Z29*1000000/Amortize_Prod!Z31,0),"SLO 不可達")</f>
        <v>0.553776964935269</v>
      </c>
      <c r="AA32" s="166" t="n">
        <f aca="false">IF(ISNUMBER(Amortize_Prod!AA31),IF(Amortize_Prod!AA31&gt;0,Amortize_Prod!AA29*1000000/Amortize_Prod!AA31,0),"SLO 不可達")</f>
        <v>1.03889625673366</v>
      </c>
      <c r="AB32" s="166" t="n">
        <f aca="false">IF(ISNUMBER(Amortize_Prod!AB31),IF(Amortize_Prod!AB31&gt;0,Amortize_Prod!AB29*1000000/Amortize_Prod!AB31,0),"SLO 不可達")</f>
        <v>0.140804062409482</v>
      </c>
      <c r="AC32" s="166" t="n">
        <f aca="false">IF(ISNUMBER(Amortize_Prod!AC31),IF(Amortize_Prod!AC31&gt;0,Amortize_Prod!AC29*1000000/Amortize_Prod!AC31,0),"SLO 不可達")</f>
        <v>0.182677850203567</v>
      </c>
      <c r="AD32" s="166" t="n">
        <f aca="false">IF(ISNUMBER(Amortize_Prod!AD31),IF(Amortize_Prod!AD31&gt;0,Amortize_Prod!AD29*1000000/Amortize_Prod!AD31,0),"SLO 不可達")</f>
        <v>0.295989989987929</v>
      </c>
      <c r="AE32" s="166" t="n">
        <f aca="false">IF(ISNUMBER(Amortize_Prod!AE31),IF(Amortize_Prod!AE31&gt;0,Amortize_Prod!AE29*1000000/Amortize_Prod!AE31,0),"SLO 不可達")</f>
        <v>0.072018230448584</v>
      </c>
      <c r="AF32" s="166" t="n">
        <f aca="false">IF(ISNUMBER(Amortize_Prod!AF31),IF(Amortize_Prod!AF31&gt;0,Amortize_Prod!AF29*1000000/Amortize_Prod!AF31,0),"SLO 不可達")</f>
        <v>0.110722070659308</v>
      </c>
      <c r="AG32" s="166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1344</v>
      </c>
      <c r="B33" s="51" t="s">
        <v>774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0" t="s">
        <v>1907</v>
      </c>
    </row>
    <row r="2" customFormat="false" ht="15" hidden="false" customHeight="false" outlineLevel="0" collapsed="false">
      <c r="A2" s="66" t="s">
        <v>1908</v>
      </c>
    </row>
    <row r="3" customFormat="false" ht="15" hidden="false" customHeight="false" outlineLevel="0" collapsed="false">
      <c r="S3" s="10" t="s">
        <v>1880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1369</v>
      </c>
      <c r="B10" s="51" t="s">
        <v>1882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1370</v>
      </c>
      <c r="B11" s="51" t="s">
        <v>1909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1377</v>
      </c>
      <c r="B17" s="51" t="s">
        <v>774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1378</v>
      </c>
      <c r="B18" s="51" t="s">
        <v>774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0.023662395067677</v>
      </c>
      <c r="M18" s="149" t="n">
        <f aca="false">IF(AND(ISNUMBER(Theory_Rev_Prod!M17),ISNUMBER(Amortize_Prod!M13)),Theory_Rev_Prod!M17+Amortize_Prod!M13,"SLO 不可達")</f>
        <v>0.0306961446518426</v>
      </c>
      <c r="N18" s="149" t="n">
        <f aca="false">IF(AND(ISNUMBER(Theory_Rev_Prod!N17),ISNUMBER(Amortize_Prod!N13)),Theory_Rev_Prod!N17+Amortize_Prod!N13,"SLO 不可達")</f>
        <v>0.0497297515471272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0.018368231651997</v>
      </c>
      <c r="AC18" s="149" t="n">
        <f aca="false">IF(AND(ISNUMBER(Theory_Rev_Prod!AC17),ISNUMBER(Amortize_Prod!AC13)),Theory_Rev_Prod!AC17+Amortize_Prod!AC13,"SLO 不可達")</f>
        <v>0.0238275474334597</v>
      </c>
      <c r="AD18" s="149" t="n">
        <f aca="false">IF(AND(ISNUMBER(Theory_Rev_Prod!AD17),ISNUMBER(Amortize_Prod!AD13)),Theory_Rev_Prod!AD17+Amortize_Prod!AD13,"SLO 不可達")</f>
        <v>0.0386006736669421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1369</v>
      </c>
      <c r="B28" s="51" t="s">
        <v>1882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1387</v>
      </c>
      <c r="B29" s="51" t="s">
        <v>1909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1377</v>
      </c>
      <c r="B35" s="51" t="s">
        <v>774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1389</v>
      </c>
      <c r="B36" s="51" t="s">
        <v>774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0.0773745047828052</v>
      </c>
      <c r="M36" s="149" t="n">
        <f aca="false">IF(AND(ISNUMBER(Theory_Rev_Prod!M35),ISNUMBER(Amortize_Prod!M22)),Theory_Rev_Prod!M35+Amortize_Prod!M22,"SLO 不可達")</f>
        <v>0.100380375973393</v>
      </c>
      <c r="N36" s="149" t="n">
        <f aca="false">IF(AND(ISNUMBER(Theory_Rev_Prod!N35),ISNUMBER(Amortize_Prod!N22)),Theory_Rev_Prod!N35+Amortize_Prod!N22,"SLO 不可達")</f>
        <v>0.162635180937016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0.0615718912295467</v>
      </c>
      <c r="AC36" s="149" t="n">
        <f aca="false">IF(AND(ISNUMBER(Theory_Rev_Prod!AC35),ISNUMBER(Amortize_Prod!AC22)),Theory_Rev_Prod!AC35+Amortize_Prod!AC22,"SLO 不可達")</f>
        <v>0.0798782155803801</v>
      </c>
      <c r="AD36" s="149" t="n">
        <f aca="false">IF(AND(ISNUMBER(Theory_Rev_Prod!AD35),ISNUMBER(Amortize_Prod!AD22)),Theory_Rev_Prod!AD35+Amortize_Prod!AD22,"SLO 不可達")</f>
        <v>0.129415859367946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1369</v>
      </c>
      <c r="B46" s="51" t="s">
        <v>1882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1392</v>
      </c>
      <c r="B47" s="51" t="s">
        <v>1909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1377</v>
      </c>
      <c r="B53" s="51" t="s">
        <v>774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1394</v>
      </c>
      <c r="B54" s="51" t="s">
        <v>774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0.568870055196253</v>
      </c>
      <c r="M54" s="149" t="n">
        <f aca="false">IF(AND(ISNUMBER(Theory_Rev_Prod!M53),ISNUMBER(Amortize_Prod!M32)),Theory_Rev_Prod!M53+Amortize_Prod!M32,"SLO 不可達")</f>
        <v>0.737980205785387</v>
      </c>
      <c r="N54" s="149" t="n">
        <f aca="false">IF(AND(ISNUMBER(Theory_Rev_Prod!N53),ISNUMBER(Amortize_Prod!N32)),Theory_Rev_Prod!N53+Amortize_Prod!N32,"SLO 不可達")</f>
        <v>1.19559901774339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0.425384609769744</v>
      </c>
      <c r="AC54" s="149" t="n">
        <f aca="false">IF(AND(ISNUMBER(Theory_Rev_Prod!AC53),ISNUMBER(Amortize_Prod!AC32)),Theory_Rev_Prod!AC53+Amortize_Prod!AC32,"SLO 不可達")</f>
        <v>0.551823554780618</v>
      </c>
      <c r="AD54" s="149" t="n">
        <f aca="false">IF(AND(ISNUMBER(Theory_Rev_Prod!AD53),ISNUMBER(Amortize_Prod!AD32)),Theory_Rev_Prod!AD53+Amortize_Prod!AD32,"SLO 不可達")</f>
        <v>0.8939723826276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1400</v>
      </c>
      <c r="B67" s="51" t="s">
        <v>1909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10" t="s">
        <v>1910</v>
      </c>
    </row>
    <row r="90" customFormat="false" ht="15" hidden="false" customHeight="false" outlineLevel="0" collapsed="false">
      <c r="A90" s="51" t="s">
        <v>1911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1" t="s">
        <v>1912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1" t="s">
        <v>1913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1" t="s">
        <v>1914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1" t="s">
        <v>1915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1" t="s">
        <v>1916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1" t="s">
        <v>1917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0" width="10"/>
    <col collapsed="false" customWidth="true" hidden="false" outlineLevel="0" max="19" min="19" style="0" width="24"/>
    <col collapsed="false" customWidth="true" hidden="false" outlineLevel="0" max="21" min="20" style="0" width="12"/>
    <col collapsed="false" customWidth="true" hidden="false" outlineLevel="0" max="22" min="22" style="0" width="9"/>
    <col collapsed="false" customWidth="true" hidden="false" outlineLevel="0" max="23" min="23" style="0" width="30"/>
    <col collapsed="false" customWidth="true" hidden="false" outlineLevel="0" max="25" min="24" style="0" width="7"/>
  </cols>
  <sheetData>
    <row r="1" customFormat="false" ht="19.5" hidden="false" customHeight="true" outlineLevel="0" collapsed="false">
      <c r="A1" s="2" t="s">
        <v>1918</v>
      </c>
    </row>
    <row r="2" customFormat="false" ht="15" hidden="false" customHeight="true" outlineLevel="0" collapsed="false">
      <c r="A2" s="3" t="s">
        <v>1919</v>
      </c>
    </row>
    <row r="3" customFormat="false" ht="15" hidden="false" customHeight="true" outlineLevel="0" collapsed="false">
      <c r="A3" s="37" t="s">
        <v>1920</v>
      </c>
    </row>
    <row r="4" customFormat="false" ht="15" hidden="false" customHeight="true" outlineLevel="0" collapsed="false">
      <c r="A4" s="20" t="s">
        <v>1921</v>
      </c>
      <c r="B4" s="20" t="s">
        <v>63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  <c r="R4" s="77" t="s">
        <v>1922</v>
      </c>
      <c r="S4" s="77" t="s">
        <v>1923</v>
      </c>
      <c r="T4" s="76" t="s">
        <v>1924</v>
      </c>
      <c r="U4" s="76" t="s">
        <v>1925</v>
      </c>
      <c r="V4" s="76" t="s">
        <v>1926</v>
      </c>
      <c r="W4" s="76" t="s">
        <v>1927</v>
      </c>
      <c r="X4" s="76" t="s">
        <v>1928</v>
      </c>
      <c r="Y4" s="76" t="s">
        <v>1929</v>
      </c>
    </row>
    <row r="5" customFormat="false" ht="15" hidden="false" customHeight="true" outlineLevel="0" collapsed="false">
      <c r="A5" s="20" t="s">
        <v>28</v>
      </c>
      <c r="C5" s="28" t="s">
        <v>64</v>
      </c>
      <c r="D5" s="28" t="s">
        <v>65</v>
      </c>
      <c r="E5" s="28" t="s">
        <v>66</v>
      </c>
      <c r="F5" s="28" t="s">
        <v>64</v>
      </c>
      <c r="G5" s="28" t="s">
        <v>65</v>
      </c>
      <c r="H5" s="28" t="s">
        <v>66</v>
      </c>
      <c r="I5" s="28" t="s">
        <v>64</v>
      </c>
      <c r="J5" s="28" t="s">
        <v>65</v>
      </c>
      <c r="K5" s="28" t="s">
        <v>66</v>
      </c>
      <c r="L5" s="28" t="s">
        <v>64</v>
      </c>
      <c r="M5" s="28" t="s">
        <v>65</v>
      </c>
      <c r="N5" s="28" t="s">
        <v>66</v>
      </c>
      <c r="O5" s="28" t="s">
        <v>64</v>
      </c>
      <c r="P5" s="28" t="s">
        <v>65</v>
      </c>
      <c r="Q5" s="28" t="s">
        <v>66</v>
      </c>
    </row>
    <row r="6" customFormat="false" ht="15" hidden="false" customHeight="true" outlineLevel="0" collapsed="false">
      <c r="A6" s="20" t="s">
        <v>1930</v>
      </c>
      <c r="B6" s="21" t="s">
        <v>708</v>
      </c>
      <c r="C6" s="27" t="n">
        <f aca="false">(DC_Cost!C12)/CTL_GW</f>
        <v>22439</v>
      </c>
      <c r="D6" s="167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67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67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67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67" t="n">
        <f aca="false">(DC_Cost!P12)/CTL_GW</f>
        <v>2705</v>
      </c>
      <c r="Q6" s="27" t="n">
        <f aca="false">(DC_Cost!Q12)/CTL_GW</f>
        <v>2705</v>
      </c>
      <c r="R6" s="85" t="str">
        <f aca="false">IF(SUM(Gov_Map!$AG$5:$AG$7,Gov_Map!$AG$74:$AG$88)&gt;0,"C",IF(SUM(Gov_Map!$AH$5:$AH$7,Gov_Map!$AH$74:$AH$88)&gt;0,"B","A"))</f>
        <v>B</v>
      </c>
      <c r="S6" s="53" t="str">
        <f aca="false">IF(R6="—","—",IF(R6="A","基準輸入",IF(R6="B","情境、相對比較、反轉門檻","探索")))</f>
        <v>情境、相對比較、反轉門檻</v>
      </c>
      <c r="T6" s="54" t="s">
        <v>587</v>
      </c>
      <c r="U6" s="53" t="str">
        <f aca="false">IF(V6=0,"—",LEFT(TEXT(V6,"0"),4)&amp;"-"&amp;MID(TEXT(V6,"0"),5,2)&amp;"-"&amp;RIGHT(TEXT(V6,"0"),2))</f>
        <v>2026-10-05</v>
      </c>
      <c r="V6" s="82" t="n">
        <f aca="false">MAX(Gov_Map!$AJ$5:$AJ$7,Gov_Map!$AJ$74:$AJ$88)</f>
        <v>20261005</v>
      </c>
      <c r="W6" s="66" t="s">
        <v>1931</v>
      </c>
      <c r="X6" s="104" t="n">
        <f aca="false">IF(ISNUMBER(FIND("上限",S6)),1,0)</f>
        <v>0</v>
      </c>
      <c r="Y6" s="104" t="n">
        <v>0</v>
      </c>
    </row>
    <row r="7" customFormat="false" ht="15" hidden="false" customHeight="true" outlineLevel="0" collapsed="false">
      <c r="A7" s="20" t="s">
        <v>1932</v>
      </c>
      <c r="B7" s="21" t="s">
        <v>702</v>
      </c>
      <c r="C7" s="27" t="n">
        <f aca="false">(DC_Cost!C14)/CTL_GW</f>
        <v>718048</v>
      </c>
      <c r="D7" s="167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67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67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67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67" t="n">
        <f aca="false">(DC_Cost!P14)/CTL_GW</f>
        <v>194760</v>
      </c>
      <c r="Q7" s="27" t="n">
        <f aca="false">(DC_Cost!Q14)/CTL_GW</f>
        <v>194760</v>
      </c>
      <c r="R7" s="85" t="str">
        <f aca="false">IF(SUM(Gov_Map!$AG$5:$AG$7,Gov_Map!$AG$69:$AG$88)&gt;0,"C",IF(SUM(Gov_Map!$AH$5:$AH$7,Gov_Map!$AH$69:$AH$88)&gt;0,"B","A"))</f>
        <v>B</v>
      </c>
      <c r="S7" s="53" t="str">
        <f aca="false">IF(R7="—","—",IF(R7="A","基準輸入",IF(R7="B","情境、相對比較、反轉門檻","探索")))</f>
        <v>情境、相對比較、反轉門檻</v>
      </c>
      <c r="T7" s="54" t="s">
        <v>587</v>
      </c>
      <c r="U7" s="53" t="str">
        <f aca="false">IF(V7=0,"—",LEFT(TEXT(V7,"0"),4)&amp;"-"&amp;MID(TEXT(V7,"0"),5,2)&amp;"-"&amp;RIGHT(TEXT(V7,"0"),2))</f>
        <v>2026-10-05</v>
      </c>
      <c r="V7" s="82" t="n">
        <f aca="false">MAX(Gov_Map!$AJ$5:$AJ$7,Gov_Map!$AJ$69:$AJ$88)</f>
        <v>20261005</v>
      </c>
      <c r="W7" s="66" t="s">
        <v>1933</v>
      </c>
      <c r="X7" s="104" t="n">
        <f aca="false">IF(ISNUMBER(FIND("上限",S7)),1,0)</f>
        <v>0</v>
      </c>
      <c r="Y7" s="104" t="n">
        <v>0</v>
      </c>
    </row>
    <row r="8" customFormat="false" ht="15" hidden="false" customHeight="true" outlineLevel="0" collapsed="false">
      <c r="A8" s="20" t="s">
        <v>1934</v>
      </c>
      <c r="B8" s="16" t="s">
        <v>71</v>
      </c>
      <c r="C8" s="123" t="n">
        <f aca="false">(DC_Cost!C16/1000)/CTL_GW</f>
        <v>1.1</v>
      </c>
      <c r="D8" s="168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8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8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8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8" t="n">
        <f aca="false">(DC_Cost!P16/1000)/CTL_GW</f>
        <v>1.2</v>
      </c>
      <c r="Q8" s="123" t="n">
        <f aca="false">(DC_Cost!Q16/1000)/CTL_GW</f>
        <v>1.3</v>
      </c>
      <c r="R8" s="85" t="str">
        <f aca="false">IF(SUM(Gov_Map!$AG$5,Gov_Map!$AG$8:$AG$10)&gt;0,"C",IF(SUM(Gov_Map!$AH$5,Gov_Map!$AH$8:$AH$10)&gt;0,"B","A"))</f>
        <v>A</v>
      </c>
      <c r="S8" s="53" t="str">
        <f aca="false">IF(R8="—","—",IF(R8="A","基準輸入",IF(R8="B","情境、相對比較、反轉門檻","探索")))</f>
        <v>基準輸入</v>
      </c>
      <c r="T8" s="54" t="s">
        <v>587</v>
      </c>
      <c r="U8" s="53" t="str">
        <f aca="false">IF(V8=0,"—",LEFT(TEXT(V8,"0"),4)&amp;"-"&amp;MID(TEXT(V8,"0"),5,2)&amp;"-"&amp;RIGHT(TEXT(V8,"0"),2))</f>
        <v>—</v>
      </c>
      <c r="V8" s="82" t="n">
        <f aca="false">MAX(Gov_Map!$AJ$5,Gov_Map!$AJ$8:$AJ$10)</f>
        <v>0</v>
      </c>
      <c r="W8" s="66" t="s">
        <v>1935</v>
      </c>
      <c r="X8" s="104" t="n">
        <f aca="false">IF(ISNUMBER(FIND("上限",S8)),1,0)</f>
        <v>0</v>
      </c>
      <c r="Y8" s="104" t="n">
        <v>0</v>
      </c>
    </row>
    <row r="9" customFormat="false" ht="15" hidden="false" customHeight="true" outlineLevel="0" collapsed="false">
      <c r="A9" s="20" t="s">
        <v>1936</v>
      </c>
      <c r="B9" s="16" t="s">
        <v>846</v>
      </c>
      <c r="C9" s="30" t="n">
        <f aca="false">(DC_Cost!C24)/CTL_GW</f>
        <v>21.4202694</v>
      </c>
      <c r="D9" s="169" t="n">
        <f aca="false">(DC_Cost!D24)/CTL_GW</f>
        <v>27.510214</v>
      </c>
      <c r="E9" s="30" t="n">
        <f aca="false">(DC_Cost!E24)/CTL_GW</f>
        <v>34.1207434</v>
      </c>
      <c r="F9" s="30" t="n">
        <f aca="false">(DC_Cost!F24)/CTL_GW</f>
        <v>20.6393904</v>
      </c>
      <c r="G9" s="169" t="n">
        <f aca="false">(DC_Cost!G24)/CTL_GW</f>
        <v>24.015174</v>
      </c>
      <c r="H9" s="30" t="n">
        <f aca="false">(DC_Cost!H24)/CTL_GW</f>
        <v>27.6502044</v>
      </c>
      <c r="I9" s="30" t="n">
        <f aca="false">(DC_Cost!I24)/CTL_GW</f>
        <v>28.5549024</v>
      </c>
      <c r="J9" s="169" t="n">
        <f aca="false">(DC_Cost!J24)/CTL_GW</f>
        <v>37.445504</v>
      </c>
      <c r="K9" s="30" t="n">
        <f aca="false">(DC_Cost!K24)/CTL_GW</f>
        <v>50.9505064</v>
      </c>
      <c r="L9" s="30" t="n">
        <f aca="false">(DC_Cost!L24)/CTL_GW</f>
        <v>33.2734032</v>
      </c>
      <c r="M9" s="169" t="n">
        <f aca="false">(DC_Cost!M24)/CTL_GW</f>
        <v>37.586352</v>
      </c>
      <c r="N9" s="30" t="n">
        <f aca="false">(DC_Cost!N24)/CTL_GW</f>
        <v>42.6375752</v>
      </c>
      <c r="O9" s="30" t="n">
        <f aca="false">(DC_Cost!O24)/CTL_GW</f>
        <v>35.845578</v>
      </c>
      <c r="P9" s="169" t="n">
        <f aca="false">(DC_Cost!P24)/CTL_GW</f>
        <v>50.08578</v>
      </c>
      <c r="Q9" s="30" t="n">
        <f aca="false">(DC_Cost!Q24)/CTL_GW</f>
        <v>65.481558</v>
      </c>
      <c r="R9" s="85" t="str">
        <f aca="false">IF(SUM(Gov_Map!$AG$5:$AG$7,Gov_Map!$AG$17:$AG$22,Gov_Map!$AG$69:$AG$103)&gt;0,"C",IF(SUM(Gov_Map!$AH$5:$AH$7,Gov_Map!$AH$17:$AH$22,Gov_Map!$AH$69:$AH$103)&gt;0,"B","A"))</f>
        <v>B</v>
      </c>
      <c r="S9" s="53" t="str">
        <f aca="false">IF(R9="—","—",IF(R9="A","基準輸入",IF(R9="B","情境、相對比較、反轉門檻","探索")))</f>
        <v>情境、相對比較、反轉門檻</v>
      </c>
      <c r="T9" s="54" t="s">
        <v>587</v>
      </c>
      <c r="U9" s="53" t="str">
        <f aca="false">IF(V9=0,"—",LEFT(TEXT(V9,"0"),4)&amp;"-"&amp;MID(TEXT(V9,"0"),5,2)&amp;"-"&amp;RIGHT(TEXT(V9,"0"),2))</f>
        <v>2026-10-05</v>
      </c>
      <c r="V9" s="82" t="n">
        <f aca="false">MAX(Gov_Map!$AJ$5:$AJ$7,Gov_Map!$AJ$17:$AJ$22,Gov_Map!$AJ$69:$AJ$103)</f>
        <v>20261005</v>
      </c>
      <c r="W9" s="66" t="s">
        <v>1937</v>
      </c>
      <c r="X9" s="104" t="n">
        <f aca="false">IF(ISNUMBER(FIND("上限",S9)),1,0)</f>
        <v>0</v>
      </c>
      <c r="Y9" s="104" t="n">
        <v>0</v>
      </c>
    </row>
    <row r="10" customFormat="false" ht="15" hidden="false" customHeight="true" outlineLevel="0" collapsed="false">
      <c r="A10" s="20" t="s">
        <v>1938</v>
      </c>
      <c r="B10" s="16" t="s">
        <v>846</v>
      </c>
      <c r="C10" s="30" t="n">
        <f aca="false">(DC_Cost!C32)/CTL_GW</f>
        <v>10.212</v>
      </c>
      <c r="D10" s="169" t="n">
        <f aca="false">(DC_Cost!D32)/CTL_GW</f>
        <v>12.67</v>
      </c>
      <c r="E10" s="30" t="n">
        <f aca="false">(DC_Cost!E32)/CTL_GW</f>
        <v>16.186</v>
      </c>
      <c r="F10" s="30" t="n">
        <f aca="false">(DC_Cost!F32)/CTL_GW</f>
        <v>10.212</v>
      </c>
      <c r="G10" s="169" t="n">
        <f aca="false">(DC_Cost!G32)/CTL_GW</f>
        <v>12.67</v>
      </c>
      <c r="H10" s="30" t="n">
        <f aca="false">(DC_Cost!H32)/CTL_GW</f>
        <v>16.186</v>
      </c>
      <c r="I10" s="30" t="n">
        <f aca="false">(DC_Cost!I32)/CTL_GW</f>
        <v>10.212</v>
      </c>
      <c r="J10" s="169" t="n">
        <f aca="false">(DC_Cost!J32)/CTL_GW</f>
        <v>12.67</v>
      </c>
      <c r="K10" s="30" t="n">
        <f aca="false">(DC_Cost!K32)/CTL_GW</f>
        <v>16.186</v>
      </c>
      <c r="L10" s="30" t="n">
        <f aca="false">(DC_Cost!L32)/CTL_GW</f>
        <v>10.212</v>
      </c>
      <c r="M10" s="169" t="n">
        <f aca="false">(DC_Cost!M32)/CTL_GW</f>
        <v>12.67</v>
      </c>
      <c r="N10" s="30" t="n">
        <f aca="false">(DC_Cost!N32)/CTL_GW</f>
        <v>16.186</v>
      </c>
      <c r="O10" s="30" t="n">
        <f aca="false">(DC_Cost!O32)/CTL_GW</f>
        <v>10.212</v>
      </c>
      <c r="P10" s="169" t="n">
        <f aca="false">(DC_Cost!P32)/CTL_GW</f>
        <v>12.67</v>
      </c>
      <c r="Q10" s="30" t="n">
        <f aca="false">(DC_Cost!Q32)/CTL_GW</f>
        <v>16.186</v>
      </c>
      <c r="R10" s="85" t="str">
        <f aca="false">IF(SUM(Gov_Map!$AG$5,Gov_Map!$AG$23:$AG$40)&gt;0,"C",IF(SUM(Gov_Map!$AH$5,Gov_Map!$AH$23:$AH$40)&gt;0,"B","A"))</f>
        <v>A</v>
      </c>
      <c r="S10" s="53" t="str">
        <f aca="false">IF(R10="—","—",IF(R10="A","基準輸入",IF(R10="B","情境、相對比較、反轉門檻","探索")))</f>
        <v>基準輸入</v>
      </c>
      <c r="T10" s="54" t="s">
        <v>587</v>
      </c>
      <c r="U10" s="53" t="str">
        <f aca="false">IF(V10=0,"—",LEFT(TEXT(V10,"0"),4)&amp;"-"&amp;MID(TEXT(V10,"0"),5,2)&amp;"-"&amp;RIGHT(TEXT(V10,"0"),2))</f>
        <v>—</v>
      </c>
      <c r="V10" s="82" t="n">
        <f aca="false">MAX(Gov_Map!$AJ$5,Gov_Map!$AJ$23:$AJ$40)</f>
        <v>0</v>
      </c>
      <c r="W10" s="66" t="s">
        <v>1939</v>
      </c>
      <c r="X10" s="104" t="n">
        <f aca="false">IF(ISNUMBER(FIND("上限",S10)),1,0)</f>
        <v>0</v>
      </c>
      <c r="Y10" s="104" t="n">
        <v>0</v>
      </c>
    </row>
    <row r="11" customFormat="false" ht="15" hidden="false" customHeight="true" outlineLevel="0" collapsed="false">
      <c r="A11" s="20" t="s">
        <v>1940</v>
      </c>
      <c r="B11" s="16" t="s">
        <v>846</v>
      </c>
      <c r="C11" s="30" t="n">
        <f aca="false">(DC_Cost!C33)/CTL_GW</f>
        <v>31.6322694</v>
      </c>
      <c r="D11" s="169" t="n">
        <f aca="false">(DC_Cost!D33)/CTL_GW</f>
        <v>40.180214</v>
      </c>
      <c r="E11" s="30" t="n">
        <f aca="false">(DC_Cost!E33)/CTL_GW</f>
        <v>50.3067434</v>
      </c>
      <c r="F11" s="30" t="n">
        <f aca="false">(DC_Cost!F33)/CTL_GW</f>
        <v>30.8513904</v>
      </c>
      <c r="G11" s="169" t="n">
        <f aca="false">(DC_Cost!G33)/CTL_GW</f>
        <v>36.685174</v>
      </c>
      <c r="H11" s="30" t="n">
        <f aca="false">(DC_Cost!H33)/CTL_GW</f>
        <v>43.8362044</v>
      </c>
      <c r="I11" s="30" t="n">
        <f aca="false">(DC_Cost!I33)/CTL_GW</f>
        <v>38.7669024</v>
      </c>
      <c r="J11" s="169" t="n">
        <f aca="false">(DC_Cost!J33)/CTL_GW</f>
        <v>50.115504</v>
      </c>
      <c r="K11" s="30" t="n">
        <f aca="false">(DC_Cost!K33)/CTL_GW</f>
        <v>67.1365064</v>
      </c>
      <c r="L11" s="30" t="n">
        <f aca="false">(DC_Cost!L33)/CTL_GW</f>
        <v>43.4854032</v>
      </c>
      <c r="M11" s="169" t="n">
        <f aca="false">(DC_Cost!M33)/CTL_GW</f>
        <v>50.256352</v>
      </c>
      <c r="N11" s="30" t="n">
        <f aca="false">(DC_Cost!N33)/CTL_GW</f>
        <v>58.8235752</v>
      </c>
      <c r="O11" s="30" t="n">
        <f aca="false">(DC_Cost!O33)/CTL_GW</f>
        <v>46.057578</v>
      </c>
      <c r="P11" s="169" t="n">
        <f aca="false">(DC_Cost!P33)/CTL_GW</f>
        <v>62.75578</v>
      </c>
      <c r="Q11" s="30" t="n">
        <f aca="false">(DC_Cost!Q33)/CTL_GW</f>
        <v>81.667558</v>
      </c>
      <c r="R11" s="85" t="str">
        <f aca="false">IF(SUM(Gov_Map!$AG$5:$AG$7,Gov_Map!$AG$17:$AG$40,Gov_Map!$AG$69:$AG$103)&gt;0,"C",IF(SUM(Gov_Map!$AH$5:$AH$7,Gov_Map!$AH$17:$AH$40,Gov_Map!$AH$69:$AH$103)&gt;0,"B","A"))</f>
        <v>B</v>
      </c>
      <c r="S11" s="53" t="str">
        <f aca="false">IF(R11="—","—",IF(R11="A","基準輸入",IF(R11="B","情境、相對比較、反轉門檻","探索")))</f>
        <v>情境、相對比較、反轉門檻</v>
      </c>
      <c r="T11" s="54" t="s">
        <v>587</v>
      </c>
      <c r="U11" s="53" t="str">
        <f aca="false">IF(V11=0,"—",LEFT(TEXT(V11,"0"),4)&amp;"-"&amp;MID(TEXT(V11,"0"),5,2)&amp;"-"&amp;RIGHT(TEXT(V11,"0"),2))</f>
        <v>2026-10-05</v>
      </c>
      <c r="V11" s="82" t="n">
        <f aca="false">MAX(Gov_Map!$AJ$5:$AJ$7,Gov_Map!$AJ$17:$AJ$40,Gov_Map!$AJ$69:$AJ$103)</f>
        <v>20261005</v>
      </c>
      <c r="W11" s="66" t="s">
        <v>1941</v>
      </c>
      <c r="X11" s="104" t="n">
        <f aca="false">IF(ISNUMBER(FIND("上限",S11)),1,0)</f>
        <v>0</v>
      </c>
      <c r="Y11" s="104" t="n">
        <v>0</v>
      </c>
    </row>
    <row r="12" customFormat="false" ht="15" hidden="false" customHeight="true" outlineLevel="0" collapsed="false">
      <c r="A12" s="20" t="s">
        <v>1942</v>
      </c>
      <c r="B12" s="16" t="s">
        <v>1943</v>
      </c>
      <c r="C12" s="170" t="n">
        <f aca="false">(DC_Cost!C49)/CTL_GW</f>
        <v>5.39897242953333</v>
      </c>
      <c r="D12" s="171" t="n">
        <f aca="false">(DC_Cost!D49)/CTL_GW</f>
        <v>7.49682782333333</v>
      </c>
      <c r="E12" s="170" t="n">
        <f aca="false">(DC_Cost!E49)/CTL_GW</f>
        <v>12.9492728665333</v>
      </c>
      <c r="F12" s="170" t="n">
        <f aca="false">(DC_Cost!F49)/CTL_GW</f>
        <v>5.25086571253333</v>
      </c>
      <c r="G12" s="171" t="n">
        <f aca="false">(DC_Cost!G49)/CTL_GW</f>
        <v>6.79199475666667</v>
      </c>
      <c r="H12" s="170" t="n">
        <f aca="false">(DC_Cost!H49)/CTL_GW</f>
        <v>11.0210522445333</v>
      </c>
      <c r="I12" s="170" t="n">
        <f aca="false">(DC_Cost!I49)/CTL_GW</f>
        <v>6.75217448853333</v>
      </c>
      <c r="J12" s="171" t="n">
        <f aca="false">(DC_Cost!J49)/CTL_GW</f>
        <v>9.50044464</v>
      </c>
      <c r="K12" s="170" t="n">
        <f aca="false">(DC_Cost!K49)/CTL_GW</f>
        <v>17.9645422405333</v>
      </c>
      <c r="L12" s="170" t="n">
        <f aca="false">(DC_Cost!L49)/CTL_GW</f>
        <v>7.64711680693333</v>
      </c>
      <c r="M12" s="171" t="n">
        <f aca="false">(DC_Cost!M49)/CTL_GW</f>
        <v>9.52884898666667</v>
      </c>
      <c r="N12" s="170" t="n">
        <f aca="false">(DC_Cost!N49)/CTL_GW</f>
        <v>15.4872887429333</v>
      </c>
      <c r="O12" s="170" t="n">
        <f aca="false">(DC_Cost!O49)/CTL_GW</f>
        <v>8.13497262733334</v>
      </c>
      <c r="P12" s="171" t="n">
        <f aca="false">(DC_Cost!P49)/CTL_GW</f>
        <v>12.0495669666667</v>
      </c>
      <c r="Q12" s="170" t="n">
        <f aca="false">(DC_Cost!Q49)/CTL_GW</f>
        <v>22.2947956173333</v>
      </c>
      <c r="R12" s="85" t="str">
        <f aca="false">IF(SUM(Gov_Map!$AG$5:$AG$40,Gov_Map!$AG$44:$AG$103)&gt;0,"C",IF(SUM(Gov_Map!$AH$5:$AH$40,Gov_Map!$AH$44:$AH$103)&gt;0,"B","A"))</f>
        <v>B</v>
      </c>
      <c r="S12" s="53" t="str">
        <f aca="false">IF(R12="—","—",IF(R12="A","基準輸入",IF(R12="B","情境、相對比較、反轉門檻","探索")))</f>
        <v>情境、相對比較、反轉門檻</v>
      </c>
      <c r="T12" s="54" t="s">
        <v>587</v>
      </c>
      <c r="U12" s="53" t="str">
        <f aca="false">IF(V12=0,"—",LEFT(TEXT(V12,"0"),4)&amp;"-"&amp;MID(TEXT(V12,"0"),5,2)&amp;"-"&amp;RIGHT(TEXT(V12,"0"),2))</f>
        <v>2026-10-05</v>
      </c>
      <c r="V12" s="82" t="n">
        <f aca="false">MAX(Gov_Map!$AJ$5:$AJ$40,Gov_Map!$AJ$44:$AJ$103)</f>
        <v>20261005</v>
      </c>
      <c r="W12" s="66" t="s">
        <v>1944</v>
      </c>
      <c r="X12" s="104" t="n">
        <f aca="false">IF(ISNUMBER(FIND("上限",S12)),1,0)</f>
        <v>0</v>
      </c>
      <c r="Y12" s="104" t="n">
        <v>0</v>
      </c>
    </row>
    <row r="13" customFormat="false" ht="15" hidden="false" customHeight="true" outlineLevel="0" collapsed="false">
      <c r="A13" s="20" t="s">
        <v>1945</v>
      </c>
      <c r="B13" s="16" t="s">
        <v>1943</v>
      </c>
      <c r="C13" s="170" t="n">
        <f aca="false">(DC_Cost!C55)/CTL_GW</f>
        <v>7.0000433103819</v>
      </c>
      <c r="D13" s="171" t="n">
        <f aca="false">(DC_Cost!D55)/CTL_GW</f>
        <v>10.0957952959174</v>
      </c>
      <c r="E13" s="170" t="n">
        <f aca="false">(DC_Cost!E55)/CTL_GW</f>
        <v>17.4059720636914</v>
      </c>
      <c r="F13" s="170" t="n">
        <f aca="false">(DC_Cost!F55)/CTL_GW</f>
        <v>6.81316695089878</v>
      </c>
      <c r="G13" s="171" t="n">
        <f aca="false">(DC_Cost!G55)/CTL_GW</f>
        <v>9.17098191725462</v>
      </c>
      <c r="H13" s="170" t="n">
        <f aca="false">(DC_Cost!H55)/CTL_GW</f>
        <v>14.9200285257983</v>
      </c>
      <c r="I13" s="170" t="n">
        <f aca="false">(DC_Cost!I55)/CTL_GW</f>
        <v>8.70747076237914</v>
      </c>
      <c r="J13" s="171" t="n">
        <f aca="false">(DC_Cost!J55)/CTL_GW</f>
        <v>12.7247463559608</v>
      </c>
      <c r="K13" s="170" t="n">
        <f aca="false">(DC_Cost!K55)/CTL_GW</f>
        <v>23.87186935202</v>
      </c>
      <c r="L13" s="170" t="n">
        <f aca="false">(DC_Cost!L55)/CTL_GW</f>
        <v>9.83668060375303</v>
      </c>
      <c r="M13" s="171" t="n">
        <f aca="false">(DC_Cost!M55)/CTL_GW</f>
        <v>12.7620157762701</v>
      </c>
      <c r="N13" s="170" t="n">
        <f aca="false">(DC_Cost!N55)/CTL_GW</f>
        <v>20.6780894215396</v>
      </c>
      <c r="O13" s="170" t="n">
        <f aca="false">(DC_Cost!O55)/CTL_GW</f>
        <v>10.4522416094636</v>
      </c>
      <c r="P13" s="171" t="n">
        <f aca="false">(DC_Cost!P55)/CTL_GW</f>
        <v>16.0694566753819</v>
      </c>
      <c r="Q13" s="170" t="n">
        <f aca="false">(DC_Cost!Q55)/CTL_GW</f>
        <v>29.454615058956</v>
      </c>
      <c r="R13" s="85" t="str">
        <f aca="false">IF(SUM(Gov_Map!$AG$5:$AG$103)&gt;0,"C",IF(SUM(Gov_Map!$AH$5:$AH$103)&gt;0,"B","A"))</f>
        <v>B</v>
      </c>
      <c r="S13" s="53" t="str">
        <f aca="false">IF(R13="—","—",IF(R13="A","基準輸入",IF(R13="B","情境、相對比較、反轉門檻","探索")))</f>
        <v>情境、相對比較、反轉門檻</v>
      </c>
      <c r="T13" s="54" t="s">
        <v>587</v>
      </c>
      <c r="U13" s="53" t="str">
        <f aca="false">IF(V13=0,"—",LEFT(TEXT(V13,"0"),4)&amp;"-"&amp;MID(TEXT(V13,"0"),5,2)&amp;"-"&amp;RIGHT(TEXT(V13,"0"),2))</f>
        <v>2026-10-05</v>
      </c>
      <c r="V13" s="82" t="n">
        <f aca="false">MAX(Gov_Map!$AJ$5:$AJ$103)</f>
        <v>20261005</v>
      </c>
      <c r="W13" s="66" t="s">
        <v>1946</v>
      </c>
      <c r="X13" s="104" t="n">
        <f aca="false">IF(ISNUMBER(FIND("上限",S13)),1,0)</f>
        <v>0</v>
      </c>
      <c r="Y13" s="104" t="n">
        <v>0</v>
      </c>
    </row>
    <row r="14" customFormat="false" ht="15" hidden="false" customHeight="true" outlineLevel="0" collapsed="false">
      <c r="A14" s="20" t="s">
        <v>877</v>
      </c>
      <c r="B14" s="16" t="s">
        <v>819</v>
      </c>
      <c r="C14" s="170" t="n">
        <f aca="false">DC_Cost!C58</f>
        <v>1.11286669150028</v>
      </c>
      <c r="D14" s="171" t="n">
        <f aca="false">DC_Cost!D58</f>
        <v>1.60502925637165</v>
      </c>
      <c r="E14" s="170" t="n">
        <f aca="false">DC_Cost!E58</f>
        <v>2.76720095633376</v>
      </c>
      <c r="F14" s="170" t="n">
        <f aca="false">DC_Cost!F58</f>
        <v>1.55003663914234</v>
      </c>
      <c r="G14" s="171" t="n">
        <f aca="false">DC_Cost!G58</f>
        <v>2.08645378736555</v>
      </c>
      <c r="H14" s="170" t="n">
        <f aca="false">DC_Cost!H58</f>
        <v>3.39439662035368</v>
      </c>
      <c r="I14" s="170" t="n">
        <f aca="false">DC_Cost!I58</f>
        <v>2.04104144426194</v>
      </c>
      <c r="J14" s="171" t="n">
        <f aca="false">DC_Cost!J58</f>
        <v>2.98269559427618</v>
      </c>
      <c r="K14" s="170" t="n">
        <f aca="false">DC_Cost!K58</f>
        <v>5.59559440727497</v>
      </c>
      <c r="L14" s="170" t="n">
        <f aca="false">DC_Cost!L58</f>
        <v>3.84895231682799</v>
      </c>
      <c r="M14" s="171" t="n">
        <f aca="false">DC_Cost!M58</f>
        <v>4.99359409623699</v>
      </c>
      <c r="N14" s="170" t="n">
        <f aca="false">DC_Cost!N58</f>
        <v>8.09104040200768</v>
      </c>
      <c r="O14" s="170" t="n">
        <f aca="false">DC_Cost!O58</f>
        <v>6.12640309057557</v>
      </c>
      <c r="P14" s="171" t="n">
        <f aca="false">DC_Cost!P58</f>
        <v>9.41883786448199</v>
      </c>
      <c r="Q14" s="170" t="n">
        <f aca="false">DC_Cost!Q58</f>
        <v>17.2643200828347</v>
      </c>
      <c r="R14" s="85" t="str">
        <f aca="false">IF(SUM(Gov_Map!$AG$5:$AG$103)&gt;0,"C",IF(SUM(Gov_Map!$AH$5:$AH$103)&gt;0,"B","A"))</f>
        <v>B</v>
      </c>
      <c r="S14" s="53" t="str">
        <f aca="false">IF(R14="—","—",IF(R14="A","基準輸入",IF(R14="B","情境、相對比較、反轉門檻","探索")))</f>
        <v>情境、相對比較、反轉門檻</v>
      </c>
      <c r="T14" s="54" t="s">
        <v>587</v>
      </c>
      <c r="U14" s="53" t="str">
        <f aca="false">IF(V14=0,"—",LEFT(TEXT(V14,"0"),4)&amp;"-"&amp;MID(TEXT(V14,"0"),5,2)&amp;"-"&amp;RIGHT(TEXT(V14,"0"),2))</f>
        <v>2026-10-05</v>
      </c>
      <c r="V14" s="82" t="n">
        <f aca="false">MAX(Gov_Map!$AJ$5:$AJ$103)</f>
        <v>20261005</v>
      </c>
      <c r="W14" s="66" t="s">
        <v>1946</v>
      </c>
      <c r="X14" s="104" t="n">
        <f aca="false">IF(ISNUMBER(FIND("上限",S14)),1,0)</f>
        <v>0</v>
      </c>
      <c r="Y14" s="104" t="n">
        <v>0</v>
      </c>
    </row>
    <row r="15" customFormat="false" ht="15" hidden="false" customHeight="true" outlineLevel="0" collapsed="false">
      <c r="A15" s="20" t="s">
        <v>1947</v>
      </c>
      <c r="B15" s="16" t="s">
        <v>1943</v>
      </c>
      <c r="C15" s="170" t="n">
        <f aca="false">(DC_Cost!C43)/CTL_GW</f>
        <v>0.404712</v>
      </c>
      <c r="D15" s="171" t="n">
        <f aca="false">(DC_Cost!D43)/CTL_GW</f>
        <v>0.672768</v>
      </c>
      <c r="E15" s="170" t="n">
        <f aca="false">(DC_Cost!E43)/CTL_GW</f>
        <v>1.02492</v>
      </c>
      <c r="F15" s="170" t="n">
        <f aca="false">(DC_Cost!F43)/CTL_GW</f>
        <v>0.404712</v>
      </c>
      <c r="G15" s="171" t="n">
        <f aca="false">(DC_Cost!G43)/CTL_GW</f>
        <v>0.672768</v>
      </c>
      <c r="H15" s="170" t="n">
        <f aca="false">(DC_Cost!H43)/CTL_GW</f>
        <v>1.02492</v>
      </c>
      <c r="I15" s="170" t="n">
        <f aca="false">(DC_Cost!I43)/CTL_GW</f>
        <v>0.404712</v>
      </c>
      <c r="J15" s="171" t="n">
        <f aca="false">(DC_Cost!J43)/CTL_GW</f>
        <v>0.672768</v>
      </c>
      <c r="K15" s="170" t="n">
        <f aca="false">(DC_Cost!K43)/CTL_GW</f>
        <v>1.02492</v>
      </c>
      <c r="L15" s="170" t="n">
        <f aca="false">(DC_Cost!L43)/CTL_GW</f>
        <v>0.404712</v>
      </c>
      <c r="M15" s="171" t="n">
        <f aca="false">(DC_Cost!M43)/CTL_GW</f>
        <v>0.672768</v>
      </c>
      <c r="N15" s="170" t="n">
        <f aca="false">(DC_Cost!N43)/CTL_GW</f>
        <v>1.02492</v>
      </c>
      <c r="O15" s="170" t="n">
        <f aca="false">(DC_Cost!O43)/CTL_GW</f>
        <v>0.404712</v>
      </c>
      <c r="P15" s="171" t="n">
        <f aca="false">(DC_Cost!P43)/CTL_GW</f>
        <v>0.672768</v>
      </c>
      <c r="Q15" s="170" t="n">
        <f aca="false">(DC_Cost!Q43)/CTL_GW</f>
        <v>1.02492</v>
      </c>
      <c r="R15" s="85" t="str">
        <f aca="false">IF(SUM(Gov_Map!$AG$5,Gov_Map!$AG$8:$AG$16)&gt;0,"C",IF(SUM(Gov_Map!$AH$5,Gov_Map!$AH$8:$AH$16)&gt;0,"B","A"))</f>
        <v>A</v>
      </c>
      <c r="S15" s="53" t="str">
        <f aca="false">IF(R15="—","—",IF(R15="A","基準輸入",IF(R15="B","情境、相對比較、反轉門檻","探索")))</f>
        <v>基準輸入</v>
      </c>
      <c r="T15" s="54" t="s">
        <v>587</v>
      </c>
      <c r="U15" s="53" t="str">
        <f aca="false">IF(V15=0,"—",LEFT(TEXT(V15,"0"),4)&amp;"-"&amp;MID(TEXT(V15,"0"),5,2)&amp;"-"&amp;RIGHT(TEXT(V15,"0"),2))</f>
        <v>—</v>
      </c>
      <c r="V15" s="82" t="n">
        <f aca="false">MAX(Gov_Map!$AJ$5,Gov_Map!$AJ$8:$AJ$16)</f>
        <v>0</v>
      </c>
      <c r="W15" s="66" t="s">
        <v>1948</v>
      </c>
      <c r="X15" s="104" t="n">
        <f aca="false">IF(ISNUMBER(FIND("上限",S15)),1,0)</f>
        <v>0</v>
      </c>
      <c r="Y15" s="104" t="n">
        <v>0</v>
      </c>
    </row>
    <row r="17" customFormat="false" ht="15" hidden="false" customHeight="true" outlineLevel="0" collapsed="false">
      <c r="A17" s="172" t="s">
        <v>1949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"/>
    </row>
    <row r="18" customFormat="false" ht="15" hidden="false" customHeight="true" outlineLevel="0" collapsed="false">
      <c r="A18" s="7" t="s">
        <v>227</v>
      </c>
      <c r="C18" s="11"/>
    </row>
    <row r="19" customFormat="false" ht="15" hidden="false" customHeight="true" outlineLevel="0" collapsed="false">
      <c r="A19" s="173" t="s">
        <v>1950</v>
      </c>
      <c r="B19" s="36" t="s">
        <v>338</v>
      </c>
      <c r="C19" s="27" t="n">
        <f aca="false">INDEX(Perf!$C$95:$Q$95,3*(Unit_Cost!C$6-1)+1)</f>
        <v>104668.529421467</v>
      </c>
      <c r="D19" s="41" t="n">
        <f aca="false">INDEX(Perf!$C$95:$Q$95,3*(Unit_Cost!D$6-1)+1)</f>
        <v>104668.529421467</v>
      </c>
      <c r="E19" s="41" t="n">
        <f aca="false">INDEX(Perf!$C$95:$Q$95,3*(Unit_Cost!E$6-1)+1)</f>
        <v>104668.529421467</v>
      </c>
      <c r="F19" s="41" t="n">
        <f aca="false">INDEX(Perf!$C$95:$Q$95,3*(Unit_Cost!F$6-1)+1)</f>
        <v>1648540.14144621</v>
      </c>
      <c r="G19" s="41" t="n">
        <f aca="false">INDEX(Perf!$C$95:$Q$95,3*(Unit_Cost!G$6-1)+1)</f>
        <v>1648540.14144621</v>
      </c>
      <c r="H19" s="41" t="n">
        <f aca="false">INDEX(Perf!$C$95:$Q$95,3*(Unit_Cost!H$6-1)+1)</f>
        <v>1648540.14144621</v>
      </c>
      <c r="I19" s="41" t="n">
        <f aca="false">INDEX(Perf!$C$95:$Q$95,3*(Unit_Cost!I$6-1)+1)</f>
        <v>2472810.21216931</v>
      </c>
      <c r="J19" s="41" t="n">
        <f aca="false">INDEX(Perf!$C$95:$Q$95,3*(Unit_Cost!J$6-1)+1)</f>
        <v>2472810.21216931</v>
      </c>
      <c r="K19" s="41" t="n">
        <f aca="false">INDEX(Perf!$C$95:$Q$95,3*(Unit_Cost!K$6-1)+1)</f>
        <v>2472810.21216931</v>
      </c>
      <c r="L19" s="41" t="n">
        <f aca="false">INDEX(Perf!$C$95:$Q$95,3*(Unit_Cost!L$6-1)+1)</f>
        <v>6047542.53332882</v>
      </c>
      <c r="M19" s="41" t="n">
        <f aca="false">INDEX(Perf!$C$95:$Q$95,3*(Unit_Cost!M$6-1)+1)</f>
        <v>6047542.53332882</v>
      </c>
      <c r="N19" s="41" t="n">
        <f aca="false">INDEX(Perf!$C$95:$Q$95,3*(Unit_Cost!N$6-1)+1)</f>
        <v>6047542.53332882</v>
      </c>
      <c r="O19" s="41" t="n">
        <f aca="false">INDEX(Perf!$C$95:$Q$95,3*(Unit_Cost!O$6-1)+1)</f>
        <v>12242836.6707437</v>
      </c>
      <c r="P19" s="41" t="n">
        <f aca="false">INDEX(Perf!$C$95:$Q$95,3*(Unit_Cost!P$6-1)+1)</f>
        <v>12242836.6707437</v>
      </c>
      <c r="Q19" s="41" t="n">
        <f aca="false">INDEX(Perf!$C$95:$Q$95,3*(Unit_Cost!Q$6-1)+1)</f>
        <v>12242836.6707437</v>
      </c>
      <c r="R19" s="8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53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54" t="s">
        <v>1951</v>
      </c>
      <c r="U19" s="53" t="str">
        <f aca="false">IF(V19=0,"—",LEFT(TEXT(V19,"0"),4)&amp;"-"&amp;MID(TEXT(V19,"0"),5,2)&amp;"-"&amp;RIGHT(TEXT(V19,"0"),2))</f>
        <v>2026-10-05</v>
      </c>
      <c r="V19" s="8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66" t="s">
        <v>1952</v>
      </c>
      <c r="X19" s="104" t="n">
        <f aca="false">IF(ISNUMBER(FIND("上限",S19)),1,0)</f>
        <v>1</v>
      </c>
      <c r="Y19" s="104" t="n">
        <v>1</v>
      </c>
    </row>
    <row r="20" customFormat="false" ht="15" hidden="false" customHeight="true" outlineLevel="0" collapsed="false">
      <c r="A20" s="173" t="s">
        <v>1953</v>
      </c>
      <c r="B20" s="36" t="s">
        <v>338</v>
      </c>
      <c r="C20" s="27" t="n">
        <f aca="false">INDEX(Perf!$C$96:$Q$96,3*(Unit_Cost!C$6-1)+1)</f>
        <v>11629.8366023852</v>
      </c>
      <c r="D20" s="41" t="n">
        <f aca="false">INDEX(Perf!$C$96:$Q$96,3*(Unit_Cost!D$6-1)+1)</f>
        <v>11629.8366023852</v>
      </c>
      <c r="E20" s="41" t="n">
        <f aca="false">INDEX(Perf!$C$96:$Q$96,3*(Unit_Cost!E$6-1)+1)</f>
        <v>11629.8366023852</v>
      </c>
      <c r="F20" s="41" t="n">
        <f aca="false">INDEX(Perf!$C$96:$Q$96,3*(Unit_Cost!F$6-1)+1)</f>
        <v>183171.126827357</v>
      </c>
      <c r="G20" s="41" t="n">
        <f aca="false">INDEX(Perf!$C$96:$Q$96,3*(Unit_Cost!G$6-1)+1)</f>
        <v>183171.126827357</v>
      </c>
      <c r="H20" s="41" t="n">
        <f aca="false">INDEX(Perf!$C$96:$Q$96,3*(Unit_Cost!H$6-1)+1)</f>
        <v>183171.126827357</v>
      </c>
      <c r="I20" s="41" t="n">
        <f aca="false">INDEX(Perf!$C$96:$Q$96,3*(Unit_Cost!I$6-1)+1)</f>
        <v>274756.690241035</v>
      </c>
      <c r="J20" s="41" t="n">
        <f aca="false">INDEX(Perf!$C$96:$Q$96,3*(Unit_Cost!J$6-1)+1)</f>
        <v>274756.690241035</v>
      </c>
      <c r="K20" s="41" t="n">
        <f aca="false">INDEX(Perf!$C$96:$Q$96,3*(Unit_Cost!K$6-1)+1)</f>
        <v>274756.690241035</v>
      </c>
      <c r="L20" s="41" t="n">
        <f aca="false">INDEX(Perf!$C$96:$Q$96,3*(Unit_Cost!L$6-1)+1)</f>
        <v>671949.170369869</v>
      </c>
      <c r="M20" s="41" t="n">
        <f aca="false">INDEX(Perf!$C$96:$Q$96,3*(Unit_Cost!M$6-1)+1)</f>
        <v>671949.170369869</v>
      </c>
      <c r="N20" s="41" t="n">
        <f aca="false">INDEX(Perf!$C$96:$Q$96,3*(Unit_Cost!N$6-1)+1)</f>
        <v>671949.170369869</v>
      </c>
      <c r="O20" s="41" t="n">
        <f aca="false">INDEX(Perf!$C$96:$Q$96,3*(Unit_Cost!O$6-1)+1)</f>
        <v>1360315.18563819</v>
      </c>
      <c r="P20" s="41" t="n">
        <f aca="false">INDEX(Perf!$C$96:$Q$96,3*(Unit_Cost!P$6-1)+1)</f>
        <v>1360315.18563819</v>
      </c>
      <c r="Q20" s="41" t="n">
        <f aca="false">INDEX(Perf!$C$96:$Q$96,3*(Unit_Cost!Q$6-1)+1)</f>
        <v>1360315.18563819</v>
      </c>
      <c r="R20" s="8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53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54" t="s">
        <v>1951</v>
      </c>
      <c r="U20" s="53" t="str">
        <f aca="false">IF(V20=0,"—",LEFT(TEXT(V20,"0"),4)&amp;"-"&amp;MID(TEXT(V20,"0"),5,2)&amp;"-"&amp;RIGHT(TEXT(V20,"0"),2))</f>
        <v>2026-10-05</v>
      </c>
      <c r="V20" s="8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66" t="s">
        <v>1952</v>
      </c>
      <c r="X20" s="104" t="n">
        <f aca="false">IF(ISNUMBER(FIND("上限",S20)),1,0)</f>
        <v>1</v>
      </c>
      <c r="Y20" s="104" t="n">
        <v>1</v>
      </c>
    </row>
    <row r="21" customFormat="false" ht="15" hidden="false" customHeight="true" outlineLevel="0" collapsed="false">
      <c r="A21" s="173" t="s">
        <v>1891</v>
      </c>
      <c r="B21" s="36" t="s">
        <v>766</v>
      </c>
      <c r="C21" s="167" t="n">
        <f aca="false">INDEX(Perf!$C$98:$Q$98,3*(Unit_Cost!C$6-1)+1)</f>
        <v>74067251304.9223</v>
      </c>
      <c r="D21" s="174" t="n">
        <f aca="false">INDEX(Perf!$C$98:$Q$98,3*(Unit_Cost!D$6-1)+1)</f>
        <v>74067251304.9223</v>
      </c>
      <c r="E21" s="174" t="n">
        <f aca="false">INDEX(Perf!$C$98:$Q$98,3*(Unit_Cost!E$6-1)+1)</f>
        <v>74067251304.9223</v>
      </c>
      <c r="F21" s="174" t="n">
        <f aca="false">INDEX(Perf!$C$98:$Q$98,3*(Unit_Cost!F$6-1)+1)</f>
        <v>362306894085.614</v>
      </c>
      <c r="G21" s="174" t="n">
        <f aca="false">INDEX(Perf!$C$98:$Q$98,3*(Unit_Cost!G$6-1)+1)</f>
        <v>362306894085.614</v>
      </c>
      <c r="H21" s="174" t="n">
        <f aca="false">INDEX(Perf!$C$98:$Q$98,3*(Unit_Cost!H$6-1)+1)</f>
        <v>362306894085.614</v>
      </c>
      <c r="I21" s="174" t="n">
        <f aca="false">INDEX(Perf!$C$98:$Q$98,3*(Unit_Cost!I$6-1)+1)</f>
        <v>527473919843.971</v>
      </c>
      <c r="J21" s="174" t="n">
        <f aca="false">INDEX(Perf!$C$98:$Q$98,3*(Unit_Cost!J$6-1)+1)</f>
        <v>527473919843.971</v>
      </c>
      <c r="K21" s="174" t="n">
        <f aca="false">INDEX(Perf!$C$98:$Q$98,3*(Unit_Cost!K$6-1)+1)</f>
        <v>527473919843.971</v>
      </c>
      <c r="L21" s="174" t="n">
        <f aca="false">INDEX(Perf!$C$98:$Q$98,3*(Unit_Cost!L$6-1)+1)</f>
        <v>772778400993.445</v>
      </c>
      <c r="M21" s="174" t="n">
        <f aca="false">INDEX(Perf!$C$98:$Q$98,3*(Unit_Cost!M$6-1)+1)</f>
        <v>772778400993.445</v>
      </c>
      <c r="N21" s="174" t="n">
        <f aca="false">INDEX(Perf!$C$98:$Q$98,3*(Unit_Cost!N$6-1)+1)</f>
        <v>772778400993.445</v>
      </c>
      <c r="O21" s="174" t="n">
        <f aca="false">INDEX(Perf!$C$98:$Q$98,3*(Unit_Cost!O$6-1)+1)</f>
        <v>1044373713057.39</v>
      </c>
      <c r="P21" s="174" t="n">
        <f aca="false">INDEX(Perf!$C$98:$Q$98,3*(Unit_Cost!P$6-1)+1)</f>
        <v>1044373713057.39</v>
      </c>
      <c r="Q21" s="174" t="n">
        <f aca="false">INDEX(Perf!$C$98:$Q$98,3*(Unit_Cost!Q$6-1)+1)</f>
        <v>1044373713057.39</v>
      </c>
      <c r="R21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53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54" t="s">
        <v>1951</v>
      </c>
      <c r="U21" s="53" t="str">
        <f aca="false">IF(V21=0,"—",LEFT(TEXT(V21,"0"),4)&amp;"-"&amp;MID(TEXT(V21,"0"),5,2)&amp;"-"&amp;RIGHT(TEXT(V21,"0"),2))</f>
        <v>2026-10-05</v>
      </c>
      <c r="V21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66" t="s">
        <v>1954</v>
      </c>
      <c r="X21" s="104" t="n">
        <f aca="false">IF(ISNUMBER(FIND("上限",S21)),1,0)</f>
        <v>1</v>
      </c>
      <c r="Y21" s="104" t="n">
        <v>1</v>
      </c>
    </row>
    <row r="22" customFormat="false" ht="15" hidden="false" customHeight="true" outlineLevel="0" collapsed="false">
      <c r="A22" s="15" t="s">
        <v>1955</v>
      </c>
      <c r="B22" s="36" t="s">
        <v>83</v>
      </c>
      <c r="C22" s="123" t="n">
        <f aca="false">INDEX(Perf!$C$120:$Q$120,3*(Unit_Cost!C$6-1)+1)</f>
        <v>0.0958453952772297</v>
      </c>
      <c r="D22" s="175" t="n">
        <f aca="false">INDEX(Perf!$C$120:$Q$120,3*(Unit_Cost!D$6-1)+1)</f>
        <v>0.0958453952772297</v>
      </c>
      <c r="E22" s="175" t="n">
        <f aca="false">INDEX(Perf!$C$120:$Q$120,3*(Unit_Cost!E$6-1)+1)</f>
        <v>0.0958453952772297</v>
      </c>
      <c r="F22" s="175" t="n">
        <f aca="false">INDEX(Perf!$C$120:$Q$120,3*(Unit_Cost!F$6-1)+1)</f>
        <v>0.468836724240545</v>
      </c>
      <c r="G22" s="175" t="n">
        <f aca="false">INDEX(Perf!$C$120:$Q$120,3*(Unit_Cost!G$6-1)+1)</f>
        <v>0.468836724240545</v>
      </c>
      <c r="H22" s="175" t="n">
        <f aca="false">INDEX(Perf!$C$120:$Q$120,3*(Unit_Cost!H$6-1)+1)</f>
        <v>0.468836724240545</v>
      </c>
      <c r="I22" s="175" t="n">
        <f aca="false">INDEX(Perf!$C$120:$Q$120,3*(Unit_Cost!I$6-1)+1)</f>
        <v>0.682568145235267</v>
      </c>
      <c r="J22" s="175" t="n">
        <f aca="false">INDEX(Perf!$C$120:$Q$120,3*(Unit_Cost!J$6-1)+1)</f>
        <v>0.682568145235267</v>
      </c>
      <c r="K22" s="175" t="n">
        <f aca="false">INDEX(Perf!$C$120:$Q$120,3*(Unit_Cost!K$6-1)+1)</f>
        <v>0.682568145235267</v>
      </c>
      <c r="L22" s="175" t="n">
        <f aca="false">INDEX(Perf!$C$120:$Q$120,3*(Unit_Cost!L$6-1)+1)</f>
        <v>1</v>
      </c>
      <c r="M22" s="175" t="n">
        <f aca="false">INDEX(Perf!$C$120:$Q$120,3*(Unit_Cost!M$6-1)+1)</f>
        <v>1</v>
      </c>
      <c r="N22" s="175" t="n">
        <f aca="false">INDEX(Perf!$C$120:$Q$120,3*(Unit_Cost!N$6-1)+1)</f>
        <v>1</v>
      </c>
      <c r="O22" s="175" t="n">
        <f aca="false">INDEX(Perf!$C$120:$Q$120,3*(Unit_Cost!O$6-1)+1)</f>
        <v>1.35145303196207</v>
      </c>
      <c r="P22" s="175" t="n">
        <f aca="false">INDEX(Perf!$C$120:$Q$120,3*(Unit_Cost!P$6-1)+1)</f>
        <v>1.35145303196207</v>
      </c>
      <c r="Q22" s="175" t="n">
        <f aca="false">INDEX(Perf!$C$120:$Q$120,3*(Unit_Cost!Q$6-1)+1)</f>
        <v>1.35145303196207</v>
      </c>
      <c r="R22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53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54" t="s">
        <v>1951</v>
      </c>
      <c r="U22" s="53" t="str">
        <f aca="false">IF(V22=0,"—",LEFT(TEXT(V22,"0"),4)&amp;"-"&amp;MID(TEXT(V22,"0"),5,2)&amp;"-"&amp;RIGHT(TEXT(V22,"0"),2))</f>
        <v>2026-10-05</v>
      </c>
      <c r="V22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66" t="s">
        <v>1954</v>
      </c>
      <c r="X22" s="104" t="n">
        <f aca="false">IF(ISNUMBER(FIND("上限",S22)),1,0)</f>
        <v>1</v>
      </c>
      <c r="Y22" s="104" t="n">
        <v>1</v>
      </c>
    </row>
    <row r="23" customFormat="false" ht="15" hidden="false" customHeight="true" outlineLevel="0" collapsed="false">
      <c r="A23" s="35" t="s">
        <v>1892</v>
      </c>
      <c r="B23" s="36" t="s">
        <v>774</v>
      </c>
      <c r="C23" s="38" t="n">
        <f aca="false">Unit_Cost!C16</f>
        <v>0.0398626327246416</v>
      </c>
      <c r="D23" s="38" t="n">
        <f aca="false">Unit_Cost!D16</f>
        <v>0.0574917842790264</v>
      </c>
      <c r="E23" s="38" t="n">
        <f aca="false">Unit_Cost!E16</f>
        <v>0.0991205112347298</v>
      </c>
      <c r="F23" s="38" t="n">
        <f aca="false">Unit_Cost!F16</f>
        <v>0.00549112196175739</v>
      </c>
      <c r="G23" s="38" t="n">
        <f aca="false">Unit_Cost!G16</f>
        <v>0.00739142025722318</v>
      </c>
      <c r="H23" s="38" t="n">
        <f aca="false">Unit_Cost!H16</f>
        <v>0.0120249066107575</v>
      </c>
      <c r="I23" s="38" t="n">
        <f aca="false">Unit_Cost!I16</f>
        <v>0.0048203623993667</v>
      </c>
      <c r="J23" s="38" t="n">
        <f aca="false">Unit_Cost!J16</f>
        <v>0.00704428307020721</v>
      </c>
      <c r="K23" s="38" t="n">
        <f aca="false">Unit_Cost!K16</f>
        <v>0.0132152107732867</v>
      </c>
      <c r="L23" s="38" t="n">
        <f aca="false">Unit_Cost!L16</f>
        <v>0.00389577272156528</v>
      </c>
      <c r="M23" s="38" t="n">
        <f aca="false">Unit_Cost!M16</f>
        <v>0.00505433844364223</v>
      </c>
      <c r="N23" s="38" t="n">
        <f aca="false">Unit_Cost!N16</f>
        <v>0.00818946349358809</v>
      </c>
      <c r="O23" s="38" t="n">
        <f aca="false">Unit_Cost!O16</f>
        <v>0.00310046372063748</v>
      </c>
      <c r="P23" s="38" t="n">
        <f aca="false">Unit_Cost!P16</f>
        <v>0.00476670644383758</v>
      </c>
      <c r="Q23" s="38" t="n">
        <f aca="false">Unit_Cost!Q16</f>
        <v>0.00873716555814697</v>
      </c>
      <c r="R23" s="8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$522)&gt;0,"B","A"))</f>
        <v>B</v>
      </c>
      <c r="S23" s="53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54" t="s">
        <v>1951</v>
      </c>
      <c r="U23" s="53" t="str">
        <f aca="false">IF(V23=0,"—",LEFT(TEXT(V23,"0"),4)&amp;"-"&amp;MID(TEXT(V23,"0"),5,2)&amp;"-"&amp;RIGHT(TEXT(V23,"0"),2))</f>
        <v>2026-10-05</v>
      </c>
      <c r="V23" s="8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$522)</f>
        <v>20261005</v>
      </c>
      <c r="W23" s="66" t="s">
        <v>1956</v>
      </c>
      <c r="X23" s="104" t="n">
        <f aca="false">IF(ISNUMBER(FIND("上限",S23)),1,0)</f>
        <v>1</v>
      </c>
      <c r="Y23" s="104" t="n">
        <v>1</v>
      </c>
    </row>
    <row r="24" customFormat="false" ht="15" hidden="false" customHeight="true" outlineLevel="0" collapsed="false">
      <c r="A24" s="35" t="s">
        <v>1957</v>
      </c>
      <c r="B24" s="36" t="s">
        <v>774</v>
      </c>
      <c r="C24" s="176" t="n">
        <f aca="false">Unit_Cost!C17</f>
        <v>8.64017334095354E-006</v>
      </c>
      <c r="D24" s="176" t="n">
        <f aca="false">Unit_Cost!D17</f>
        <v>1.24612688098854E-005</v>
      </c>
      <c r="E24" s="176" t="n">
        <f aca="false">Unit_Cost!E17</f>
        <v>2.14842407582024E-005</v>
      </c>
      <c r="F24" s="176" t="n">
        <f aca="false">Unit_Cost!F17</f>
        <v>1.20343122400079E-005</v>
      </c>
      <c r="G24" s="176" t="n">
        <f aca="false">Unit_Cost!G17</f>
        <v>1.61989953769075E-005</v>
      </c>
      <c r="H24" s="176" t="n">
        <f aca="false">Unit_Cost!H17</f>
        <v>2.6353718205246E-005</v>
      </c>
      <c r="I24" s="176" t="n">
        <f aca="false">Unit_Cost!I17</f>
        <v>1.5846418990867E-005</v>
      </c>
      <c r="J24" s="176" t="n">
        <f aca="false">Unit_Cost!J17</f>
        <v>2.31573171833387E-005</v>
      </c>
      <c r="K24" s="176" t="n">
        <f aca="false">Unit_Cost!K17</f>
        <v>4.3443573245371E-005</v>
      </c>
      <c r="L24" s="176" t="n">
        <f aca="false">Unit_Cost!L17</f>
        <v>2.9882838126484E-005</v>
      </c>
      <c r="M24" s="176" t="n">
        <f aca="false">Unit_Cost!M17</f>
        <v>3.87697097193956E-005</v>
      </c>
      <c r="N24" s="176" t="n">
        <f aca="false">Unit_Cost!N17</f>
        <v>6.28179386766985E-005</v>
      </c>
      <c r="O24" s="176" t="n">
        <f aca="false">Unit_Cost!O17</f>
        <v>4.75647128837742E-005</v>
      </c>
      <c r="P24" s="176" t="n">
        <f aca="false">Unit_Cost!P17</f>
        <v>7.31268106422977E-005</v>
      </c>
      <c r="Q24" s="176" t="n">
        <f aca="false">Unit_Cost!Q17</f>
        <v>0.000134038262865341</v>
      </c>
      <c r="R24" s="85" t="str">
        <f aca="false">IF(SUM(Gov_Map!$AG$5:$AG$103,Gov_Map!$AG$183:$AG$184,Gov_Map!$AG$209,Gov_Map!$AG$212,Gov_Map!$AG$221:$AG$230,Gov_Map!$AG$239,Gov_Map!$AG$420,Gov_Map!$AG$430,Gov_Map!$AG$510:$AG$518,Gov_Map!$AG$521:$AG$522,Gov_Map!$AG$574:$AG$578)&gt;0,"C",IF(SUM(Gov_Map!$AH$5:$AH$103,Gov_Map!$AH$183:$AH$184,Gov_Map!$AH$209,Gov_Map!$AH$212,Gov_Map!$AH$221:$AH$230,Gov_Map!$AH$239,Gov_Map!$AH$420,Gov_Map!$AH$430,Gov_Map!$AH$510:$AH$518,Gov_Map!$AH$521:$AH$522,Gov_Map!$AH$574:$AH$578)&gt;0,"B","A"))</f>
        <v>B</v>
      </c>
      <c r="S24" s="53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54" t="s">
        <v>1951</v>
      </c>
      <c r="U24" s="53" t="str">
        <f aca="false">IF(V24=0,"—",LEFT(TEXT(V24,"0"),4)&amp;"-"&amp;MID(TEXT(V24,"0"),5,2)&amp;"-"&amp;RIGHT(TEXT(V24,"0"),2))</f>
        <v>2026-10-05</v>
      </c>
      <c r="V24" s="82" t="n">
        <f aca="false">MAX(Gov_Map!$AJ$5:$AJ$103,Gov_Map!$AJ$183:$AJ$184,Gov_Map!$AJ$209,Gov_Map!$AJ$212,Gov_Map!$AJ$221:$AJ$230,Gov_Map!$AJ$239,Gov_Map!$AJ$420,Gov_Map!$AJ$430,Gov_Map!$AJ$510:$AJ$518,Gov_Map!$AJ$521:$AJ$522,Gov_Map!$AJ$574:$AJ$578)</f>
        <v>20261005</v>
      </c>
      <c r="W24" s="66" t="s">
        <v>1958</v>
      </c>
      <c r="X24" s="104" t="n">
        <f aca="false">IF(ISNUMBER(FIND("上限",S24)),1,0)</f>
        <v>1</v>
      </c>
      <c r="Y24" s="104" t="n">
        <v>1</v>
      </c>
    </row>
    <row r="25" customFormat="false" ht="15" hidden="false" customHeight="true" outlineLevel="0" collapsed="false">
      <c r="A25" s="36" t="s">
        <v>1893</v>
      </c>
      <c r="B25" s="36" t="s">
        <v>774</v>
      </c>
      <c r="C25" s="48" t="n">
        <f aca="false">Unit_Cost!C18</f>
        <v>0.531682545444821</v>
      </c>
      <c r="D25" s="48" t="n">
        <f aca="false">Unit_Cost!D18</f>
        <v>0.766817847149911</v>
      </c>
      <c r="E25" s="48" t="n">
        <f aca="false">Unit_Cost!E18</f>
        <v>1.32205632485723</v>
      </c>
      <c r="F25" s="48" t="n">
        <f aca="false">Unit_Cost!F18</f>
        <v>0.125315671755568</v>
      </c>
      <c r="G25" s="48" t="n">
        <f aca="false">Unit_Cost!G18</f>
        <v>0.168683340346932</v>
      </c>
      <c r="H25" s="48" t="n">
        <f aca="false">Unit_Cost!H18</f>
        <v>0.274426476086278</v>
      </c>
      <c r="I25" s="48" t="n">
        <f aca="false">Unit_Cost!I18</f>
        <v>0.110007928505123</v>
      </c>
      <c r="J25" s="48" t="n">
        <f aca="false">Unit_Cost!J18</f>
        <v>0.16076114701646</v>
      </c>
      <c r="K25" s="48" t="n">
        <f aca="false">Unit_Cost!K18</f>
        <v>0.301591009447516</v>
      </c>
      <c r="L25" s="48" t="n">
        <f aca="false">Unit_Cost!L18</f>
        <v>0.0833946358175752</v>
      </c>
      <c r="M25" s="48" t="n">
        <f aca="false">Unit_Cost!M18</f>
        <v>0.108195406645015</v>
      </c>
      <c r="N25" s="48" t="n">
        <f aca="false">Unit_Cost!N18</f>
        <v>0.175307281610283</v>
      </c>
      <c r="O25" s="48" t="n">
        <f aca="false">Unit_Cost!O18</f>
        <v>0.0652695784736312</v>
      </c>
      <c r="P25" s="48" t="n">
        <f aca="false">Unit_Cost!P18</f>
        <v>0.10034657661882</v>
      </c>
      <c r="Q25" s="48" t="n">
        <f aca="false">Unit_Cost!Q18</f>
        <v>0.18393090983091</v>
      </c>
      <c r="R25" s="8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25" s="53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54" t="s">
        <v>1951</v>
      </c>
      <c r="U25" s="53" t="str">
        <f aca="false">IF(V25=0,"—",LEFT(TEXT(V25,"0"),4)&amp;"-"&amp;MID(TEXT(V25,"0"),5,2)&amp;"-"&amp;RIGHT(TEXT(V25,"0"),2))</f>
        <v>2026-10-05</v>
      </c>
      <c r="V25" s="8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25" s="66" t="s">
        <v>1959</v>
      </c>
      <c r="X25" s="104" t="n">
        <f aca="false">IF(ISNUMBER(FIND("上限",S25)),1,0)</f>
        <v>1</v>
      </c>
      <c r="Y25" s="104" t="n">
        <v>1</v>
      </c>
    </row>
    <row r="26" customFormat="false" ht="15" hidden="false" customHeight="true" outlineLevel="0" collapsed="false">
      <c r="A26" s="36" t="s">
        <v>1960</v>
      </c>
      <c r="B26" s="36" t="s">
        <v>774</v>
      </c>
      <c r="C26" s="38" t="n">
        <f aca="false">Unit_Cost!C22</f>
        <v>0.410074520519514</v>
      </c>
      <c r="D26" s="38" t="n">
        <f aca="false">Unit_Cost!D22</f>
        <v>0.569415405467536</v>
      </c>
      <c r="E26" s="38" t="n">
        <f aca="false">Unit_Cost!E22</f>
        <v>0.983551394478783</v>
      </c>
      <c r="F26" s="38" t="n">
        <f aca="false">Unit_Cost!F22</f>
        <v>0.0965800146696228</v>
      </c>
      <c r="G26" s="38" t="n">
        <f aca="false">Unit_Cost!G22</f>
        <v>0.124926248193536</v>
      </c>
      <c r="H26" s="38" t="n">
        <f aca="false">Unit_Cost!H22</f>
        <v>0.20271198040945</v>
      </c>
      <c r="I26" s="38" t="n">
        <f aca="false">Unit_Cost!I22</f>
        <v>0.0853052222234209</v>
      </c>
      <c r="J26" s="38" t="n">
        <f aca="false">Unit_Cost!J22</f>
        <v>0.120026154924285</v>
      </c>
      <c r="K26" s="38" t="n">
        <f aca="false">Unit_Cost!K22</f>
        <v>0.226959369988615</v>
      </c>
      <c r="L26" s="38" t="n">
        <f aca="false">Unit_Cost!L22</f>
        <v>0.0648316791871181</v>
      </c>
      <c r="M26" s="38" t="n">
        <f aca="false">Unit_Cost!M22</f>
        <v>0.0807848625989288</v>
      </c>
      <c r="N26" s="38" t="n">
        <f aca="false">Unit_Cost!N22</f>
        <v>0.131300065189245</v>
      </c>
      <c r="O26" s="38" t="n">
        <f aca="false">Unit_Cost!O22</f>
        <v>0.0507992691060483</v>
      </c>
      <c r="P26" s="38" t="n">
        <f aca="false">Unit_Cost!P22</f>
        <v>0.0752441615961161</v>
      </c>
      <c r="Q26" s="38" t="n">
        <f aca="false">Unit_Cost!Q22</f>
        <v>0.139221036641708</v>
      </c>
      <c r="R26" s="85" t="str">
        <f aca="false">IF(SUM(Gov_Map!$AG$5:$AG$40,Gov_Map!$AG$44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$40,Gov_Map!$AH$44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26" s="53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54" t="s">
        <v>1951</v>
      </c>
      <c r="U26" s="53" t="str">
        <f aca="false">IF(V26=0,"—",LEFT(TEXT(V26,"0"),4)&amp;"-"&amp;MID(TEXT(V26,"0"),5,2)&amp;"-"&amp;RIGHT(TEXT(V26,"0"),2))</f>
        <v>2026-10-05</v>
      </c>
      <c r="V26" s="82" t="n">
        <f aca="false">MAX(Gov_Map!$AJ$5:$AJ$40,Gov_Map!$AJ$44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26" s="66" t="s">
        <v>1961</v>
      </c>
      <c r="X26" s="104" t="n">
        <f aca="false">IF(ISNUMBER(FIND("上限",S26)),1,0)</f>
        <v>1</v>
      </c>
      <c r="Y26" s="104" t="n">
        <v>1</v>
      </c>
    </row>
    <row r="27" customFormat="false" ht="15" hidden="false" customHeight="true" outlineLevel="0" collapsed="false">
      <c r="A27" s="36" t="s">
        <v>1962</v>
      </c>
      <c r="B27" s="36" t="s">
        <v>790</v>
      </c>
      <c r="C27" s="43" t="n">
        <f aca="false">INDEX(Perf!$C$117:$Q$117,3*(Unit_Cost!C$6-1)+1)</f>
        <v>3.191113701874</v>
      </c>
      <c r="D27" s="43" t="n">
        <f aca="false">INDEX(Perf!$C$117:$Q$117,3*(Unit_Cost!D$6-1)+1)</f>
        <v>3.191113701874</v>
      </c>
      <c r="E27" s="43" t="n">
        <f aca="false">INDEX(Perf!$C$117:$Q$117,3*(Unit_Cost!E$6-1)+1)</f>
        <v>3.191113701874</v>
      </c>
      <c r="F27" s="43" t="n">
        <f aca="false">INDEX(Perf!$C$117:$Q$117,3*(Unit_Cost!F$6-1)+1)</f>
        <v>15.611175581877</v>
      </c>
      <c r="G27" s="43" t="n">
        <f aca="false">INDEX(Perf!$C$117:$Q$117,3*(Unit_Cost!G$6-1)+1)</f>
        <v>15.611175581877</v>
      </c>
      <c r="H27" s="43" t="n">
        <f aca="false">INDEX(Perf!$C$117:$Q$117,3*(Unit_Cost!H$6-1)+1)</f>
        <v>15.611175581877</v>
      </c>
      <c r="I27" s="43" t="n">
        <f aca="false">INDEX(Perf!$C$117:$Q$117,3*(Unit_Cost!I$6-1)+1)</f>
        <v>22.7280350383209</v>
      </c>
      <c r="J27" s="43" t="n">
        <f aca="false">INDEX(Perf!$C$117:$Q$117,3*(Unit_Cost!J$6-1)+1)</f>
        <v>22.7280350383209</v>
      </c>
      <c r="K27" s="43" t="n">
        <f aca="false">INDEX(Perf!$C$117:$Q$117,3*(Unit_Cost!K$6-1)+1)</f>
        <v>22.7280350383209</v>
      </c>
      <c r="L27" s="43" t="n">
        <f aca="false">INDEX(Perf!$C$117:$Q$117,3*(Unit_Cost!L$6-1)+1)</f>
        <v>33.3014456681102</v>
      </c>
      <c r="M27" s="43" t="n">
        <f aca="false">INDEX(Perf!$C$117:$Q$117,3*(Unit_Cost!M$6-1)+1)</f>
        <v>33.3014456681102</v>
      </c>
      <c r="N27" s="43" t="n">
        <f aca="false">INDEX(Perf!$C$117:$Q$117,3*(Unit_Cost!N$6-1)+1)</f>
        <v>33.3014456681102</v>
      </c>
      <c r="O27" s="43" t="n">
        <f aca="false">INDEX(Perf!$C$117:$Q$117,3*(Unit_Cost!O$6-1)+1)</f>
        <v>45.0104289365576</v>
      </c>
      <c r="P27" s="43" t="n">
        <f aca="false">INDEX(Perf!$C$117:$Q$117,3*(Unit_Cost!P$6-1)+1)</f>
        <v>45.0104289365576</v>
      </c>
      <c r="Q27" s="43" t="n">
        <f aca="false">INDEX(Perf!$C$117:$Q$117,3*(Unit_Cost!Q$6-1)+1)</f>
        <v>45.0104289365576</v>
      </c>
      <c r="R27" s="8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53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54" t="s">
        <v>1951</v>
      </c>
      <c r="U27" s="53" t="str">
        <f aca="false">IF(V27=0,"—",LEFT(TEXT(V27,"0"),4)&amp;"-"&amp;MID(TEXT(V27,"0"),5,2)&amp;"-"&amp;RIGHT(TEXT(V27,"0"),2))</f>
        <v>2026-10-05</v>
      </c>
      <c r="V27" s="82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66" t="s">
        <v>1963</v>
      </c>
      <c r="X27" s="104" t="n">
        <f aca="false">IF(ISNUMBER(FIND("上限",S27)),1,0)</f>
        <v>1</v>
      </c>
      <c r="Y27" s="104" t="n">
        <v>1</v>
      </c>
    </row>
    <row r="28" customFormat="false" ht="15" hidden="false" customHeight="true" outlineLevel="0" collapsed="false">
      <c r="A28" s="8" t="s">
        <v>228</v>
      </c>
    </row>
    <row r="29" customFormat="false" ht="15" hidden="false" customHeight="true" outlineLevel="0" collapsed="false">
      <c r="A29" s="35" t="s">
        <v>1964</v>
      </c>
      <c r="B29" s="36" t="s">
        <v>338</v>
      </c>
      <c r="C29" s="41" t="n">
        <f aca="false">INDEX(Perf!$C$95:$Q$95,3*(Unit_Cost!C$6-1)+2)</f>
        <v>30369.3148075447</v>
      </c>
      <c r="D29" s="41" t="n">
        <f aca="false">INDEX(Perf!$C$95:$Q$95,3*(Unit_Cost!D$6-1)+2)</f>
        <v>30369.3148075447</v>
      </c>
      <c r="E29" s="41" t="n">
        <f aca="false">INDEX(Perf!$C$95:$Q$95,3*(Unit_Cost!E$6-1)+2)</f>
        <v>30369.3148075447</v>
      </c>
      <c r="F29" s="41" t="n">
        <f aca="false">INDEX(Perf!$C$95:$Q$95,3*(Unit_Cost!F$6-1)+2)</f>
        <v>473783.155186397</v>
      </c>
      <c r="G29" s="41" t="n">
        <f aca="false">INDEX(Perf!$C$95:$Q$95,3*(Unit_Cost!G$6-1)+2)</f>
        <v>473783.155186397</v>
      </c>
      <c r="H29" s="41" t="n">
        <f aca="false">INDEX(Perf!$C$95:$Q$95,3*(Unit_Cost!H$6-1)+2)</f>
        <v>473783.155186397</v>
      </c>
      <c r="I29" s="41" t="n">
        <f aca="false">INDEX(Perf!$C$95:$Q$95,3*(Unit_Cost!I$6-1)+2)</f>
        <v>710674.732779595</v>
      </c>
      <c r="J29" s="41" t="n">
        <f aca="false">INDEX(Perf!$C$95:$Q$95,3*(Unit_Cost!J$6-1)+2)</f>
        <v>710674.732779595</v>
      </c>
      <c r="K29" s="41" t="n">
        <f aca="false">INDEX(Perf!$C$95:$Q$95,3*(Unit_Cost!K$6-1)+2)</f>
        <v>710674.732779595</v>
      </c>
      <c r="L29" s="41" t="n">
        <f aca="false">INDEX(Perf!$C$95:$Q$95,3*(Unit_Cost!L$6-1)+2)</f>
        <v>1856942.7817541</v>
      </c>
      <c r="M29" s="41" t="n">
        <f aca="false">INDEX(Perf!$C$95:$Q$95,3*(Unit_Cost!M$6-1)+2)</f>
        <v>1856942.7817541</v>
      </c>
      <c r="N29" s="41" t="n">
        <f aca="false">INDEX(Perf!$C$95:$Q$95,3*(Unit_Cost!N$6-1)+2)</f>
        <v>1856942.7817541</v>
      </c>
      <c r="O29" s="41" t="n">
        <f aca="false">INDEX(Perf!$C$95:$Q$95,3*(Unit_Cost!O$6-1)+2)</f>
        <v>3823763.31251331</v>
      </c>
      <c r="P29" s="41" t="n">
        <f aca="false">INDEX(Perf!$C$95:$Q$95,3*(Unit_Cost!P$6-1)+2)</f>
        <v>3823763.31251331</v>
      </c>
      <c r="Q29" s="41" t="n">
        <f aca="false">INDEX(Perf!$C$95:$Q$95,3*(Unit_Cost!Q$6-1)+2)</f>
        <v>3823763.31251331</v>
      </c>
      <c r="R29" s="8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53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54" t="s">
        <v>1951</v>
      </c>
      <c r="U29" s="53" t="str">
        <f aca="false">IF(V29=0,"—",LEFT(TEXT(V29,"0"),4)&amp;"-"&amp;MID(TEXT(V29,"0"),5,2)&amp;"-"&amp;RIGHT(TEXT(V29,"0"),2))</f>
        <v>2026-10-05</v>
      </c>
      <c r="V29" s="8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66" t="s">
        <v>1952</v>
      </c>
      <c r="X29" s="104" t="n">
        <f aca="false">IF(ISNUMBER(FIND("上限",S29)),1,0)</f>
        <v>1</v>
      </c>
      <c r="Y29" s="104" t="n">
        <v>1</v>
      </c>
    </row>
    <row r="30" customFormat="false" ht="15" hidden="false" customHeight="true" outlineLevel="0" collapsed="false">
      <c r="A30" s="35" t="s">
        <v>1965</v>
      </c>
      <c r="B30" s="36" t="s">
        <v>338</v>
      </c>
      <c r="C30" s="41" t="n">
        <f aca="false">INDEX(Perf!$C$96:$Q$96,3*(Unit_Cost!C$6-1)+2)</f>
        <v>3374.36831194942</v>
      </c>
      <c r="D30" s="41" t="n">
        <f aca="false">INDEX(Perf!$C$96:$Q$96,3*(Unit_Cost!D$6-1)+2)</f>
        <v>3374.36831194942</v>
      </c>
      <c r="E30" s="41" t="n">
        <f aca="false">INDEX(Perf!$C$96:$Q$96,3*(Unit_Cost!E$6-1)+2)</f>
        <v>3374.36831194942</v>
      </c>
      <c r="F30" s="41" t="n">
        <f aca="false">INDEX(Perf!$C$96:$Q$96,3*(Unit_Cost!F$6-1)+2)</f>
        <v>52642.5727984885</v>
      </c>
      <c r="G30" s="41" t="n">
        <f aca="false">INDEX(Perf!$C$96:$Q$96,3*(Unit_Cost!G$6-1)+2)</f>
        <v>52642.5727984885</v>
      </c>
      <c r="H30" s="41" t="n">
        <f aca="false">INDEX(Perf!$C$96:$Q$96,3*(Unit_Cost!H$6-1)+2)</f>
        <v>52642.5727984885</v>
      </c>
      <c r="I30" s="41" t="n">
        <f aca="false">INDEX(Perf!$C$96:$Q$96,3*(Unit_Cost!I$6-1)+2)</f>
        <v>78963.8591977328</v>
      </c>
      <c r="J30" s="41" t="n">
        <f aca="false">INDEX(Perf!$C$96:$Q$96,3*(Unit_Cost!J$6-1)+2)</f>
        <v>78963.8591977328</v>
      </c>
      <c r="K30" s="41" t="n">
        <f aca="false">INDEX(Perf!$C$96:$Q$96,3*(Unit_Cost!K$6-1)+2)</f>
        <v>78963.8591977328</v>
      </c>
      <c r="L30" s="41" t="n">
        <f aca="false">INDEX(Perf!$C$96:$Q$96,3*(Unit_Cost!L$6-1)+2)</f>
        <v>206326.975750455</v>
      </c>
      <c r="M30" s="41" t="n">
        <f aca="false">INDEX(Perf!$C$96:$Q$96,3*(Unit_Cost!M$6-1)+2)</f>
        <v>206326.975750455</v>
      </c>
      <c r="N30" s="41" t="n">
        <f aca="false">INDEX(Perf!$C$96:$Q$96,3*(Unit_Cost!N$6-1)+2)</f>
        <v>206326.975750455</v>
      </c>
      <c r="O30" s="41" t="n">
        <f aca="false">INDEX(Perf!$C$96:$Q$96,3*(Unit_Cost!O$6-1)+2)</f>
        <v>424862.590279257</v>
      </c>
      <c r="P30" s="41" t="n">
        <f aca="false">INDEX(Perf!$C$96:$Q$96,3*(Unit_Cost!P$6-1)+2)</f>
        <v>424862.590279257</v>
      </c>
      <c r="Q30" s="41" t="n">
        <f aca="false">INDEX(Perf!$C$96:$Q$96,3*(Unit_Cost!Q$6-1)+2)</f>
        <v>424862.590279257</v>
      </c>
      <c r="R30" s="8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53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54" t="s">
        <v>1951</v>
      </c>
      <c r="U30" s="53" t="str">
        <f aca="false">IF(V30=0,"—",LEFT(TEXT(V30,"0"),4)&amp;"-"&amp;MID(TEXT(V30,"0"),5,2)&amp;"-"&amp;RIGHT(TEXT(V30,"0"),2))</f>
        <v>2026-10-05</v>
      </c>
      <c r="V30" s="8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66" t="s">
        <v>1952</v>
      </c>
      <c r="X30" s="104" t="n">
        <f aca="false">IF(ISNUMBER(FIND("上限",S30)),1,0)</f>
        <v>1</v>
      </c>
      <c r="Y30" s="104" t="n">
        <v>1</v>
      </c>
    </row>
    <row r="31" customFormat="false" ht="15" hidden="false" customHeight="true" outlineLevel="0" collapsed="false">
      <c r="A31" s="35" t="s">
        <v>1894</v>
      </c>
      <c r="B31" s="36" t="s">
        <v>766</v>
      </c>
      <c r="C31" s="174" t="n">
        <f aca="false">INDEX(Perf!$C$98:$Q$98,3*(Unit_Cost!C$6-1)+2)</f>
        <v>21490429685.4234</v>
      </c>
      <c r="D31" s="174" t="n">
        <f aca="false">INDEX(Perf!$C$98:$Q$98,3*(Unit_Cost!D$6-1)+2)</f>
        <v>21490429685.4234</v>
      </c>
      <c r="E31" s="174" t="n">
        <f aca="false">INDEX(Perf!$C$98:$Q$98,3*(Unit_Cost!E$6-1)+2)</f>
        <v>21490429685.4234</v>
      </c>
      <c r="F31" s="174" t="n">
        <f aca="false">INDEX(Perf!$C$98:$Q$98,3*(Unit_Cost!F$6-1)+2)</f>
        <v>104125401080.667</v>
      </c>
      <c r="G31" s="174" t="n">
        <f aca="false">INDEX(Perf!$C$98:$Q$98,3*(Unit_Cost!G$6-1)+2)</f>
        <v>104125401080.667</v>
      </c>
      <c r="H31" s="174" t="n">
        <f aca="false">INDEX(Perf!$C$98:$Q$98,3*(Unit_Cost!H$6-1)+2)</f>
        <v>104125401080.667</v>
      </c>
      <c r="I31" s="174" t="n">
        <f aca="false">INDEX(Perf!$C$98:$Q$98,3*(Unit_Cost!I$6-1)+2)</f>
        <v>151593674754.548</v>
      </c>
      <c r="J31" s="174" t="n">
        <f aca="false">INDEX(Perf!$C$98:$Q$98,3*(Unit_Cost!J$6-1)+2)</f>
        <v>151593674754.548</v>
      </c>
      <c r="K31" s="174" t="n">
        <f aca="false">INDEX(Perf!$C$98:$Q$98,3*(Unit_Cost!K$6-1)+2)</f>
        <v>151593674754.548</v>
      </c>
      <c r="L31" s="174" t="n">
        <f aca="false">INDEX(Perf!$C$98:$Q$98,3*(Unit_Cost!L$6-1)+2)</f>
        <v>237287338734.99</v>
      </c>
      <c r="M31" s="174" t="n">
        <f aca="false">INDEX(Perf!$C$98:$Q$98,3*(Unit_Cost!M$6-1)+2)</f>
        <v>237287338734.99</v>
      </c>
      <c r="N31" s="174" t="n">
        <f aca="false">INDEX(Perf!$C$98:$Q$98,3*(Unit_Cost!N$6-1)+2)</f>
        <v>237287338734.99</v>
      </c>
      <c r="O31" s="174" t="n">
        <f aca="false">INDEX(Perf!$C$98:$Q$98,3*(Unit_Cost!O$6-1)+2)</f>
        <v>326185670522.351</v>
      </c>
      <c r="P31" s="174" t="n">
        <f aca="false">INDEX(Perf!$C$98:$Q$98,3*(Unit_Cost!P$6-1)+2)</f>
        <v>326185670522.351</v>
      </c>
      <c r="Q31" s="174" t="n">
        <f aca="false">INDEX(Perf!$C$98:$Q$98,3*(Unit_Cost!Q$6-1)+2)</f>
        <v>326185670522.351</v>
      </c>
      <c r="R31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53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54" t="s">
        <v>1951</v>
      </c>
      <c r="U31" s="53" t="str">
        <f aca="false">IF(V31=0,"—",LEFT(TEXT(V31,"0"),4)&amp;"-"&amp;MID(TEXT(V31,"0"),5,2)&amp;"-"&amp;RIGHT(TEXT(V31,"0"),2))</f>
        <v>2026-10-05</v>
      </c>
      <c r="V31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66" t="s">
        <v>1954</v>
      </c>
      <c r="X31" s="104" t="n">
        <f aca="false">IF(ISNUMBER(FIND("上限",S31)),1,0)</f>
        <v>1</v>
      </c>
      <c r="Y31" s="104" t="n">
        <v>1</v>
      </c>
    </row>
    <row r="32" customFormat="false" ht="15" hidden="false" customHeight="true" outlineLevel="0" collapsed="false">
      <c r="A32" s="36" t="s">
        <v>1966</v>
      </c>
      <c r="B32" s="36" t="s">
        <v>83</v>
      </c>
      <c r="C32" s="175" t="n">
        <f aca="false">INDEX(Perf!$C$120:$Q$120,3*(Unit_Cost!C$6-1)+2)</f>
        <v>0.0905671149585636</v>
      </c>
      <c r="D32" s="175" t="n">
        <f aca="false">INDEX(Perf!$C$120:$Q$120,3*(Unit_Cost!D$6-1)+2)</f>
        <v>0.0905671149585636</v>
      </c>
      <c r="E32" s="175" t="n">
        <f aca="false">INDEX(Perf!$C$120:$Q$120,3*(Unit_Cost!E$6-1)+2)</f>
        <v>0.0905671149585636</v>
      </c>
      <c r="F32" s="175" t="n">
        <f aca="false">INDEX(Perf!$C$120:$Q$120,3*(Unit_Cost!F$6-1)+2)</f>
        <v>0.438815663894134</v>
      </c>
      <c r="G32" s="175" t="n">
        <f aca="false">INDEX(Perf!$C$120:$Q$120,3*(Unit_Cost!G$6-1)+2)</f>
        <v>0.438815663894134</v>
      </c>
      <c r="H32" s="175" t="n">
        <f aca="false">INDEX(Perf!$C$120:$Q$120,3*(Unit_Cost!H$6-1)+2)</f>
        <v>0.438815663894134</v>
      </c>
      <c r="I32" s="175" t="n">
        <f aca="false">INDEX(Perf!$C$120:$Q$120,3*(Unit_Cost!I$6-1)+2)</f>
        <v>0.638861203310358</v>
      </c>
      <c r="J32" s="175" t="n">
        <f aca="false">INDEX(Perf!$C$120:$Q$120,3*(Unit_Cost!J$6-1)+2)</f>
        <v>0.638861203310358</v>
      </c>
      <c r="K32" s="175" t="n">
        <f aca="false">INDEX(Perf!$C$120:$Q$120,3*(Unit_Cost!K$6-1)+2)</f>
        <v>0.638861203310358</v>
      </c>
      <c r="L32" s="175" t="n">
        <f aca="false">INDEX(Perf!$C$120:$Q$120,3*(Unit_Cost!L$6-1)+2)</f>
        <v>1</v>
      </c>
      <c r="M32" s="175" t="n">
        <f aca="false">INDEX(Perf!$C$120:$Q$120,3*(Unit_Cost!M$6-1)+2)</f>
        <v>1</v>
      </c>
      <c r="N32" s="175" t="n">
        <f aca="false">INDEX(Perf!$C$120:$Q$120,3*(Unit_Cost!N$6-1)+2)</f>
        <v>1</v>
      </c>
      <c r="O32" s="175" t="n">
        <f aca="false">INDEX(Perf!$C$120:$Q$120,3*(Unit_Cost!O$6-1)+2)</f>
        <v>1.37464422780115</v>
      </c>
      <c r="P32" s="175" t="n">
        <f aca="false">INDEX(Perf!$C$120:$Q$120,3*(Unit_Cost!P$6-1)+2)</f>
        <v>1.37464422780115</v>
      </c>
      <c r="Q32" s="175" t="n">
        <f aca="false">INDEX(Perf!$C$120:$Q$120,3*(Unit_Cost!Q$6-1)+2)</f>
        <v>1.37464422780115</v>
      </c>
      <c r="R32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53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54" t="s">
        <v>1951</v>
      </c>
      <c r="U32" s="53" t="str">
        <f aca="false">IF(V32=0,"—",LEFT(TEXT(V32,"0"),4)&amp;"-"&amp;MID(TEXT(V32,"0"),5,2)&amp;"-"&amp;RIGHT(TEXT(V32,"0"),2))</f>
        <v>2026-10-05</v>
      </c>
      <c r="V32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66" t="s">
        <v>1954</v>
      </c>
      <c r="X32" s="104" t="n">
        <f aca="false">IF(ISNUMBER(FIND("上限",S32)),1,0)</f>
        <v>1</v>
      </c>
      <c r="Y32" s="104" t="n">
        <v>1</v>
      </c>
    </row>
    <row r="33" customFormat="false" ht="15" hidden="false" customHeight="true" outlineLevel="0" collapsed="false">
      <c r="A33" s="35" t="s">
        <v>1895</v>
      </c>
      <c r="B33" s="36" t="s">
        <v>774</v>
      </c>
      <c r="C33" s="38" t="n">
        <f aca="false">Unit_Cost!C29</f>
        <v>0.13835489399644</v>
      </c>
      <c r="D33" s="38" t="n">
        <f aca="false">Unit_Cost!D29</f>
        <v>0.199542006533699</v>
      </c>
      <c r="E33" s="38" t="n">
        <f aca="false">Unit_Cost!E29</f>
        <v>0.344026645693087</v>
      </c>
      <c r="F33" s="38" t="n">
        <f aca="false">Unit_Cost!F29</f>
        <v>0.019058540417749</v>
      </c>
      <c r="G33" s="38" t="n">
        <f aca="false">Unit_Cost!G29</f>
        <v>0.0256540799308293</v>
      </c>
      <c r="H33" s="38" t="n">
        <f aca="false">Unit_Cost!H29</f>
        <v>0.0417359458152398</v>
      </c>
      <c r="I33" s="38" t="n">
        <f aca="false">Unit_Cost!I29</f>
        <v>0.0167304737094431</v>
      </c>
      <c r="J33" s="38" t="n">
        <f aca="false">Unit_Cost!J29</f>
        <v>0.0244492390703779</v>
      </c>
      <c r="K33" s="38" t="n">
        <f aca="false">Unit_Cost!K29</f>
        <v>0.0458672435990019</v>
      </c>
      <c r="L33" s="38" t="n">
        <f aca="false">Unit_Cost!L29</f>
        <v>0.0135214155484817</v>
      </c>
      <c r="M33" s="38" t="n">
        <f aca="false">Unit_Cost!M29</f>
        <v>0.017542555817192</v>
      </c>
      <c r="N33" s="38" t="n">
        <f aca="false">Unit_Cost!N29</f>
        <v>0.028423921755742</v>
      </c>
      <c r="O33" s="38" t="n">
        <f aca="false">Unit_Cost!O29</f>
        <v>0.0107610636851749</v>
      </c>
      <c r="P33" s="38" t="n">
        <f aca="false">Unit_Cost!P29</f>
        <v>0.0165442450654198</v>
      </c>
      <c r="Q33" s="38" t="n">
        <f aca="false">Unit_Cost!Q29</f>
        <v>0.0303248815244336</v>
      </c>
      <c r="R33" s="8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$522)&gt;0,"B","A"))</f>
        <v>B</v>
      </c>
      <c r="S33" s="53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54" t="s">
        <v>1951</v>
      </c>
      <c r="U33" s="53" t="str">
        <f aca="false">IF(V33=0,"—",LEFT(TEXT(V33,"0"),4)&amp;"-"&amp;MID(TEXT(V33,"0"),5,2)&amp;"-"&amp;RIGHT(TEXT(V33,"0"),2))</f>
        <v>2026-10-05</v>
      </c>
      <c r="V33" s="8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$522)</f>
        <v>20261005</v>
      </c>
      <c r="W33" s="66" t="s">
        <v>1956</v>
      </c>
      <c r="X33" s="104" t="n">
        <f aca="false">IF(ISNUMBER(FIND("上限",S33)),1,0)</f>
        <v>1</v>
      </c>
      <c r="Y33" s="104" t="n">
        <v>1</v>
      </c>
    </row>
    <row r="34" customFormat="false" ht="15" hidden="false" customHeight="true" outlineLevel="0" collapsed="false">
      <c r="A34" s="35" t="s">
        <v>1967</v>
      </c>
      <c r="B34" s="36" t="s">
        <v>774</v>
      </c>
      <c r="C34" s="176" t="n">
        <f aca="false">Unit_Cost!C30</f>
        <v>1.22569900883294E-005</v>
      </c>
      <c r="D34" s="176" t="n">
        <f aca="false">Unit_Cost!D30</f>
        <v>1.76776138930933E-005</v>
      </c>
      <c r="E34" s="176" t="n">
        <f aca="false">Unit_Cost!E30</f>
        <v>3.04776438662871E-005</v>
      </c>
      <c r="F34" s="176" t="n">
        <f aca="false">Unit_Cost!F30</f>
        <v>1.70719313172205E-005</v>
      </c>
      <c r="G34" s="176" t="n">
        <f aca="false">Unit_Cost!G30</f>
        <v>2.29799701858456E-005</v>
      </c>
      <c r="H34" s="176" t="n">
        <f aca="false">Unit_Cost!H30</f>
        <v>3.73855072213954E-005</v>
      </c>
      <c r="I34" s="176" t="n">
        <f aca="false">Unit_Cost!I30</f>
        <v>2.24798036847183E-005</v>
      </c>
      <c r="J34" s="176" t="n">
        <f aca="false">Unit_Cost!J30</f>
        <v>3.28510778647363E-005</v>
      </c>
      <c r="K34" s="176" t="n">
        <f aca="false">Unit_Cost!K30</f>
        <v>6.16292550690146E-005</v>
      </c>
      <c r="L34" s="176" t="n">
        <f aca="false">Unit_Cost!L30</f>
        <v>4.2391933156175E-005</v>
      </c>
      <c r="M34" s="176" t="n">
        <f aca="false">Unit_Cost!M30</f>
        <v>5.49988905321658E-005</v>
      </c>
      <c r="N34" s="176" t="n">
        <f aca="false">Unit_Cost!N30</f>
        <v>8.91138199832235E-005</v>
      </c>
      <c r="O34" s="176" t="n">
        <f aca="false">Unit_Cost!O30</f>
        <v>6.74755229281448E-005</v>
      </c>
      <c r="P34" s="176" t="n">
        <f aca="false">Unit_Cost!P30</f>
        <v>0.000103738033701864</v>
      </c>
      <c r="Q34" s="176" t="n">
        <f aca="false">Unit_Cost!Q30</f>
        <v>0.000190147303134554</v>
      </c>
      <c r="R34" s="85" t="str">
        <f aca="false">IF(SUM(Gov_Map!$AG$5:$AG$103,Gov_Map!$AG$183:$AG$184,Gov_Map!$AG$209,Gov_Map!$AG$212,Gov_Map!$AG$221:$AG$230,Gov_Map!$AG$239,Gov_Map!$AG$420,Gov_Map!$AG$430,Gov_Map!$AG$510:$AG$518,Gov_Map!$AG$521:$AG$522,Gov_Map!$AG$574:$AG$578)&gt;0,"C",IF(SUM(Gov_Map!$AH$5:$AH$103,Gov_Map!$AH$183:$AH$184,Gov_Map!$AH$209,Gov_Map!$AH$212,Gov_Map!$AH$221:$AH$230,Gov_Map!$AH$239,Gov_Map!$AH$420,Gov_Map!$AH$430,Gov_Map!$AH$510:$AH$518,Gov_Map!$AH$521:$AH$522,Gov_Map!$AH$574:$AH$578)&gt;0,"B","A"))</f>
        <v>B</v>
      </c>
      <c r="S34" s="53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54" t="s">
        <v>1951</v>
      </c>
      <c r="U34" s="53" t="str">
        <f aca="false">IF(V34=0,"—",LEFT(TEXT(V34,"0"),4)&amp;"-"&amp;MID(TEXT(V34,"0"),5,2)&amp;"-"&amp;RIGHT(TEXT(V34,"0"),2))</f>
        <v>2026-10-05</v>
      </c>
      <c r="V34" s="82" t="n">
        <f aca="false">MAX(Gov_Map!$AJ$5:$AJ$103,Gov_Map!$AJ$183:$AJ$184,Gov_Map!$AJ$209,Gov_Map!$AJ$212,Gov_Map!$AJ$221:$AJ$230,Gov_Map!$AJ$239,Gov_Map!$AJ$420,Gov_Map!$AJ$430,Gov_Map!$AJ$510:$AJ$518,Gov_Map!$AJ$521:$AJ$522,Gov_Map!$AJ$574:$AJ$578)</f>
        <v>20261005</v>
      </c>
      <c r="W34" s="66" t="s">
        <v>1958</v>
      </c>
      <c r="X34" s="104" t="n">
        <f aca="false">IF(ISNUMBER(FIND("上限",S34)),1,0)</f>
        <v>1</v>
      </c>
      <c r="Y34" s="104" t="n">
        <v>1</v>
      </c>
    </row>
    <row r="35" customFormat="false" ht="15" hidden="false" customHeight="true" outlineLevel="0" collapsed="false">
      <c r="A35" s="36" t="s">
        <v>1896</v>
      </c>
      <c r="B35" s="36" t="s">
        <v>774</v>
      </c>
      <c r="C35" s="48" t="n">
        <f aca="false">Unit_Cost!C31</f>
        <v>1.82471646211512</v>
      </c>
      <c r="D35" s="48" t="n">
        <f aca="false">Unit_Cost!D31</f>
        <v>2.63169284214039</v>
      </c>
      <c r="E35" s="48" t="n">
        <f aca="false">Unit_Cost!E31</f>
        <v>4.53725246479951</v>
      </c>
      <c r="F35" s="48" t="n">
        <f aca="false">Unit_Cost!F31</f>
        <v>0.436422590130554</v>
      </c>
      <c r="G35" s="48" t="n">
        <f aca="false">Unit_Cost!G31</f>
        <v>0.587454220807071</v>
      </c>
      <c r="H35" s="48" t="n">
        <f aca="false">Unit_Cost!H31</f>
        <v>0.955713773194952</v>
      </c>
      <c r="I35" s="48" t="n">
        <f aca="false">Unit_Cost!I31</f>
        <v>0.383112059493625</v>
      </c>
      <c r="J35" s="48" t="n">
        <f aca="false">Unit_Cost!J31</f>
        <v>0.559864502104182</v>
      </c>
      <c r="K35" s="48" t="n">
        <f aca="false">Unit_Cost!K31</f>
        <v>1.05031659376095</v>
      </c>
      <c r="L35" s="48" t="n">
        <f aca="false">Unit_Cost!L31</f>
        <v>0.264921171426474</v>
      </c>
      <c r="M35" s="48" t="n">
        <f aca="false">Unit_Cost!M31</f>
        <v>0.343706205925063</v>
      </c>
      <c r="N35" s="48" t="n">
        <f aca="false">Unit_Cost!N31</f>
        <v>0.556901651388943</v>
      </c>
      <c r="O35" s="48" t="n">
        <f aca="false">Unit_Cost!O31</f>
        <v>0.202306055290649</v>
      </c>
      <c r="P35" s="48" t="n">
        <f aca="false">Unit_Cost!P31</f>
        <v>0.311028821579961</v>
      </c>
      <c r="Q35" s="48" t="n">
        <f aca="false">Unit_Cost!Q31</f>
        <v>0.570102300092905</v>
      </c>
      <c r="R35" s="8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35" s="53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54" t="s">
        <v>1951</v>
      </c>
      <c r="U35" s="53" t="str">
        <f aca="false">IF(V35=0,"—",LEFT(TEXT(V35,"0"),4)&amp;"-"&amp;MID(TEXT(V35,"0"),5,2)&amp;"-"&amp;RIGHT(TEXT(V35,"0"),2))</f>
        <v>2026-10-05</v>
      </c>
      <c r="V35" s="8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35" s="66" t="s">
        <v>1959</v>
      </c>
      <c r="X35" s="104" t="n">
        <f aca="false">IF(ISNUMBER(FIND("上限",S35)),1,0)</f>
        <v>1</v>
      </c>
      <c r="Y35" s="104" t="n">
        <v>1</v>
      </c>
    </row>
    <row r="36" customFormat="false" ht="15" hidden="false" customHeight="true" outlineLevel="0" collapsed="false">
      <c r="A36" s="36" t="s">
        <v>1968</v>
      </c>
      <c r="B36" s="36" t="s">
        <v>774</v>
      </c>
      <c r="C36" s="38" t="n">
        <f aca="false">Unit_Cost!C35</f>
        <v>1.40736184532802</v>
      </c>
      <c r="D36" s="38" t="n">
        <f aca="false">Unit_Cost!D35</f>
        <v>1.95421435787269</v>
      </c>
      <c r="E36" s="38" t="n">
        <f aca="false">Unit_Cost!E35</f>
        <v>3.37551502530559</v>
      </c>
      <c r="F36" s="38" t="n">
        <f aca="false">Unit_Cost!F35</f>
        <v>0.336348196250968</v>
      </c>
      <c r="G36" s="38" t="n">
        <f aca="false">Unit_Cost!G35</f>
        <v>0.435066389128565</v>
      </c>
      <c r="H36" s="38" t="n">
        <f aca="false">Unit_Cost!H35</f>
        <v>0.705961882511757</v>
      </c>
      <c r="I36" s="38" t="n">
        <f aca="false">Unit_Cost!I35</f>
        <v>0.297082763176056</v>
      </c>
      <c r="J36" s="38" t="n">
        <f aca="false">Unit_Cost!J35</f>
        <v>0.418001393454129</v>
      </c>
      <c r="K36" s="38" t="n">
        <f aca="false">Unit_Cost!K35</f>
        <v>0.79040549930603</v>
      </c>
      <c r="L36" s="38" t="n">
        <f aca="false">Unit_Cost!L35</f>
        <v>0.205951908386139</v>
      </c>
      <c r="M36" s="38" t="n">
        <f aca="false">Unit_Cost!M35</f>
        <v>0.256630660034907</v>
      </c>
      <c r="N36" s="38" t="n">
        <f aca="false">Unit_Cost!N35</f>
        <v>0.417103171412575</v>
      </c>
      <c r="O36" s="38" t="n">
        <f aca="false">Unit_Cost!O35</f>
        <v>0.157454667010676</v>
      </c>
      <c r="P36" s="38" t="n">
        <f aca="false">Unit_Cost!P35</f>
        <v>0.233222733655499</v>
      </c>
      <c r="Q36" s="38" t="n">
        <f aca="false">Unit_Cost!Q35</f>
        <v>0.431521995317274</v>
      </c>
      <c r="R36" s="85" t="str">
        <f aca="false">IF(SUM(Gov_Map!$AG$5:$AG$40,Gov_Map!$AG$44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$40,Gov_Map!$AH$44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36" s="53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54" t="s">
        <v>1951</v>
      </c>
      <c r="U36" s="53" t="str">
        <f aca="false">IF(V36=0,"—",LEFT(TEXT(V36,"0"),4)&amp;"-"&amp;MID(TEXT(V36,"0"),5,2)&amp;"-"&amp;RIGHT(TEXT(V36,"0"),2))</f>
        <v>2026-10-05</v>
      </c>
      <c r="V36" s="82" t="n">
        <f aca="false">MAX(Gov_Map!$AJ$5:$AJ$40,Gov_Map!$AJ$44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36" s="66" t="s">
        <v>1961</v>
      </c>
      <c r="X36" s="104" t="n">
        <f aca="false">IF(ISNUMBER(FIND("上限",S36)),1,0)</f>
        <v>1</v>
      </c>
      <c r="Y36" s="104" t="n">
        <v>1</v>
      </c>
    </row>
    <row r="37" customFormat="false" ht="15" hidden="false" customHeight="true" outlineLevel="0" collapsed="false">
      <c r="A37" s="36" t="s">
        <v>1969</v>
      </c>
      <c r="B37" s="36" t="s">
        <v>790</v>
      </c>
      <c r="C37" s="43" t="n">
        <f aca="false">INDEX(Perf!$C$117:$Q$117,3*(Unit_Cost!C$6-1)+2)</f>
        <v>0.925893744132461</v>
      </c>
      <c r="D37" s="43" t="n">
        <f aca="false">INDEX(Perf!$C$117:$Q$117,3*(Unit_Cost!D$6-1)+2)</f>
        <v>0.925893744132461</v>
      </c>
      <c r="E37" s="43" t="n">
        <f aca="false">INDEX(Perf!$C$117:$Q$117,3*(Unit_Cost!E$6-1)+2)</f>
        <v>0.925893744132461</v>
      </c>
      <c r="F37" s="43" t="n">
        <f aca="false">INDEX(Perf!$C$117:$Q$117,3*(Unit_Cost!F$6-1)+2)</f>
        <v>4.48658290896209</v>
      </c>
      <c r="G37" s="43" t="n">
        <f aca="false">INDEX(Perf!$C$117:$Q$117,3*(Unit_Cost!G$6-1)+2)</f>
        <v>4.48658290896209</v>
      </c>
      <c r="H37" s="43" t="n">
        <f aca="false">INDEX(Perf!$C$117:$Q$117,3*(Unit_Cost!H$6-1)+2)</f>
        <v>4.48658290896209</v>
      </c>
      <c r="I37" s="43" t="n">
        <f aca="false">INDEX(Perf!$C$117:$Q$117,3*(Unit_Cost!I$6-1)+2)</f>
        <v>6.5319368821654</v>
      </c>
      <c r="J37" s="43" t="n">
        <f aca="false">INDEX(Perf!$C$117:$Q$117,3*(Unit_Cost!J$6-1)+2)</f>
        <v>6.5319368821654</v>
      </c>
      <c r="K37" s="43" t="n">
        <f aca="false">INDEX(Perf!$C$117:$Q$117,3*(Unit_Cost!K$6-1)+2)</f>
        <v>6.5319368821654</v>
      </c>
      <c r="L37" s="43" t="n">
        <f aca="false">INDEX(Perf!$C$117:$Q$117,3*(Unit_Cost!L$6-1)+2)</f>
        <v>10.2254558466635</v>
      </c>
      <c r="M37" s="43" t="n">
        <f aca="false">INDEX(Perf!$C$117:$Q$117,3*(Unit_Cost!M$6-1)+2)</f>
        <v>10.2254558466635</v>
      </c>
      <c r="N37" s="43" t="n">
        <f aca="false">INDEX(Perf!$C$117:$Q$117,3*(Unit_Cost!N$6-1)+2)</f>
        <v>10.2254558466635</v>
      </c>
      <c r="O37" s="43" t="n">
        <f aca="false">INDEX(Perf!$C$117:$Q$117,3*(Unit_Cost!O$6-1)+2)</f>
        <v>14.0579533548284</v>
      </c>
      <c r="P37" s="43" t="n">
        <f aca="false">INDEX(Perf!$C$117:$Q$117,3*(Unit_Cost!P$6-1)+2)</f>
        <v>14.0579533548284</v>
      </c>
      <c r="Q37" s="43" t="n">
        <f aca="false">INDEX(Perf!$C$117:$Q$117,3*(Unit_Cost!Q$6-1)+2)</f>
        <v>14.0579533548284</v>
      </c>
      <c r="R37" s="8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53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54" t="s">
        <v>1951</v>
      </c>
      <c r="U37" s="53" t="str">
        <f aca="false">IF(V37=0,"—",LEFT(TEXT(V37,"0"),4)&amp;"-"&amp;MID(TEXT(V37,"0"),5,2)&amp;"-"&amp;RIGHT(TEXT(V37,"0"),2))</f>
        <v>2026-10-05</v>
      </c>
      <c r="V37" s="82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66" t="s">
        <v>1963</v>
      </c>
      <c r="X37" s="104" t="n">
        <f aca="false">IF(ISNUMBER(FIND("上限",S37)),1,0)</f>
        <v>1</v>
      </c>
      <c r="Y37" s="104" t="n">
        <v>1</v>
      </c>
    </row>
    <row r="38" customFormat="false" ht="15" hidden="false" customHeight="true" outlineLevel="0" collapsed="false">
      <c r="A38" s="8" t="s">
        <v>229</v>
      </c>
    </row>
    <row r="39" customFormat="false" ht="15" hidden="false" customHeight="true" outlineLevel="0" collapsed="false">
      <c r="A39" s="35" t="s">
        <v>1970</v>
      </c>
      <c r="B39" s="36" t="s">
        <v>338</v>
      </c>
      <c r="C39" s="41" t="n">
        <f aca="false">INDEX(Perf!$C$95:$Q$95,3*(Unit_Cost!C$6-1)+3)</f>
        <v>5478.1224112239</v>
      </c>
      <c r="D39" s="41" t="n">
        <f aca="false">INDEX(Perf!$C$95:$Q$95,3*(Unit_Cost!D$6-1)+3)</f>
        <v>5478.1224112239</v>
      </c>
      <c r="E39" s="41" t="n">
        <f aca="false">INDEX(Perf!$C$95:$Q$95,3*(Unit_Cost!E$6-1)+3)</f>
        <v>5478.1224112239</v>
      </c>
      <c r="F39" s="41" t="n">
        <f aca="false">INDEX(Perf!$C$95:$Q$95,3*(Unit_Cost!F$6-1)+3)</f>
        <v>91192.7873461663</v>
      </c>
      <c r="G39" s="41" t="n">
        <f aca="false">INDEX(Perf!$C$95:$Q$95,3*(Unit_Cost!G$6-1)+3)</f>
        <v>91192.7873461663</v>
      </c>
      <c r="H39" s="41" t="n">
        <f aca="false">INDEX(Perf!$C$95:$Q$95,3*(Unit_Cost!H$6-1)+3)</f>
        <v>91192.7873461663</v>
      </c>
      <c r="I39" s="41" t="n">
        <f aca="false">INDEX(Perf!$C$95:$Q$95,3*(Unit_Cost!I$6-1)+3)</f>
        <v>113610.678728985</v>
      </c>
      <c r="J39" s="41" t="n">
        <f aca="false">INDEX(Perf!$C$95:$Q$95,3*(Unit_Cost!J$6-1)+3)</f>
        <v>113610.678728985</v>
      </c>
      <c r="K39" s="41" t="n">
        <f aca="false">INDEX(Perf!$C$95:$Q$95,3*(Unit_Cost!K$6-1)+3)</f>
        <v>113610.678728985</v>
      </c>
      <c r="L39" s="41" t="n">
        <f aca="false">INDEX(Perf!$C$95:$Q$95,3*(Unit_Cost!L$6-1)+3)</f>
        <v>400425.262990618</v>
      </c>
      <c r="M39" s="41" t="n">
        <f aca="false">INDEX(Perf!$C$95:$Q$95,3*(Unit_Cost!M$6-1)+3)</f>
        <v>400425.262990618</v>
      </c>
      <c r="N39" s="41" t="n">
        <f aca="false">INDEX(Perf!$C$95:$Q$95,3*(Unit_Cost!N$6-1)+3)</f>
        <v>400425.262990618</v>
      </c>
      <c r="O39" s="41" t="n">
        <f aca="false">INDEX(Perf!$C$95:$Q$95,3*(Unit_Cost!O$6-1)+3)</f>
        <v>872177.01955352</v>
      </c>
      <c r="P39" s="41" t="n">
        <f aca="false">INDEX(Perf!$C$95:$Q$95,3*(Unit_Cost!P$6-1)+3)</f>
        <v>872177.01955352</v>
      </c>
      <c r="Q39" s="41" t="n">
        <f aca="false">INDEX(Perf!$C$95:$Q$95,3*(Unit_Cost!Q$6-1)+3)</f>
        <v>872177.01955352</v>
      </c>
      <c r="R39" s="8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53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54" t="s">
        <v>1951</v>
      </c>
      <c r="U39" s="53" t="str">
        <f aca="false">IF(V39=0,"—",LEFT(TEXT(V39,"0"),4)&amp;"-"&amp;MID(TEXT(V39,"0"),5,2)&amp;"-"&amp;RIGHT(TEXT(V39,"0"),2))</f>
        <v>2026-10-05</v>
      </c>
      <c r="V39" s="8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66" t="s">
        <v>1952</v>
      </c>
      <c r="X39" s="104" t="n">
        <f aca="false">IF(ISNUMBER(FIND("上限",S39)),1,0)</f>
        <v>1</v>
      </c>
      <c r="Y39" s="104" t="n">
        <v>1</v>
      </c>
    </row>
    <row r="40" customFormat="false" ht="15" hidden="false" customHeight="true" outlineLevel="0" collapsed="false">
      <c r="A40" s="35" t="s">
        <v>1971</v>
      </c>
      <c r="B40" s="36" t="s">
        <v>338</v>
      </c>
      <c r="C40" s="41" t="n">
        <f aca="false">INDEX(Perf!$C$96:$Q$96,3*(Unit_Cost!C$6-1)+3)</f>
        <v>608.680267913767</v>
      </c>
      <c r="D40" s="41" t="n">
        <f aca="false">INDEX(Perf!$C$96:$Q$96,3*(Unit_Cost!D$6-1)+3)</f>
        <v>608.680267913767</v>
      </c>
      <c r="E40" s="41" t="n">
        <f aca="false">INDEX(Perf!$C$96:$Q$96,3*(Unit_Cost!E$6-1)+3)</f>
        <v>608.680267913767</v>
      </c>
      <c r="F40" s="41" t="n">
        <f aca="false">INDEX(Perf!$C$96:$Q$96,3*(Unit_Cost!F$6-1)+3)</f>
        <v>10132.5319273518</v>
      </c>
      <c r="G40" s="41" t="n">
        <f aca="false">INDEX(Perf!$C$96:$Q$96,3*(Unit_Cost!G$6-1)+3)</f>
        <v>10132.5319273518</v>
      </c>
      <c r="H40" s="41" t="n">
        <f aca="false">INDEX(Perf!$C$96:$Q$96,3*(Unit_Cost!H$6-1)+3)</f>
        <v>10132.5319273518</v>
      </c>
      <c r="I40" s="41" t="n">
        <f aca="false">INDEX(Perf!$C$96:$Q$96,3*(Unit_Cost!I$6-1)+3)</f>
        <v>12623.408747665</v>
      </c>
      <c r="J40" s="41" t="n">
        <f aca="false">INDEX(Perf!$C$96:$Q$96,3*(Unit_Cost!J$6-1)+3)</f>
        <v>12623.408747665</v>
      </c>
      <c r="K40" s="41" t="n">
        <f aca="false">INDEX(Perf!$C$96:$Q$96,3*(Unit_Cost!K$6-1)+3)</f>
        <v>12623.408747665</v>
      </c>
      <c r="L40" s="41" t="n">
        <f aca="false">INDEX(Perf!$C$96:$Q$96,3*(Unit_Cost!L$6-1)+3)</f>
        <v>44491.6958878465</v>
      </c>
      <c r="M40" s="41" t="n">
        <f aca="false">INDEX(Perf!$C$96:$Q$96,3*(Unit_Cost!M$6-1)+3)</f>
        <v>44491.6958878465</v>
      </c>
      <c r="N40" s="41" t="n">
        <f aca="false">INDEX(Perf!$C$96:$Q$96,3*(Unit_Cost!N$6-1)+3)</f>
        <v>44491.6958878465</v>
      </c>
      <c r="O40" s="41" t="n">
        <f aca="false">INDEX(Perf!$C$96:$Q$96,3*(Unit_Cost!O$6-1)+3)</f>
        <v>96908.5577281689</v>
      </c>
      <c r="P40" s="41" t="n">
        <f aca="false">INDEX(Perf!$C$96:$Q$96,3*(Unit_Cost!P$6-1)+3)</f>
        <v>96908.5577281689</v>
      </c>
      <c r="Q40" s="41" t="n">
        <f aca="false">INDEX(Perf!$C$96:$Q$96,3*(Unit_Cost!Q$6-1)+3)</f>
        <v>96908.5577281689</v>
      </c>
      <c r="R40" s="85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53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54" t="s">
        <v>1951</v>
      </c>
      <c r="U40" s="53" t="str">
        <f aca="false">IF(V40=0,"—",LEFT(TEXT(V40,"0"),4)&amp;"-"&amp;MID(TEXT(V40,"0"),5,2)&amp;"-"&amp;RIGHT(TEXT(V40,"0"),2))</f>
        <v>2026-10-05</v>
      </c>
      <c r="V40" s="82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66" t="s">
        <v>1952</v>
      </c>
      <c r="X40" s="104" t="n">
        <f aca="false">IF(ISNUMBER(FIND("上限",S40)),1,0)</f>
        <v>1</v>
      </c>
      <c r="Y40" s="104" t="n">
        <v>1</v>
      </c>
    </row>
    <row r="41" customFormat="false" ht="15" hidden="false" customHeight="true" outlineLevel="0" collapsed="false">
      <c r="A41" s="35" t="s">
        <v>1897</v>
      </c>
      <c r="B41" s="36" t="s">
        <v>766</v>
      </c>
      <c r="C41" s="174" t="n">
        <f aca="false">INDEX(Perf!$C$98:$Q$98,3*(Unit_Cost!C$6-1)+3)</f>
        <v>3876518295.93805</v>
      </c>
      <c r="D41" s="174" t="n">
        <f aca="false">INDEX(Perf!$C$98:$Q$98,3*(Unit_Cost!D$6-1)+3)</f>
        <v>3876518295.93805</v>
      </c>
      <c r="E41" s="174" t="n">
        <f aca="false">INDEX(Perf!$C$98:$Q$98,3*(Unit_Cost!E$6-1)+3)</f>
        <v>3876518295.93805</v>
      </c>
      <c r="F41" s="174" t="n">
        <f aca="false">INDEX(Perf!$C$98:$Q$98,3*(Unit_Cost!F$6-1)+3)</f>
        <v>20041838664.2467</v>
      </c>
      <c r="G41" s="174" t="n">
        <f aca="false">INDEX(Perf!$C$98:$Q$98,3*(Unit_Cost!G$6-1)+3)</f>
        <v>20041838664.2467</v>
      </c>
      <c r="H41" s="174" t="n">
        <f aca="false">INDEX(Perf!$C$98:$Q$98,3*(Unit_Cost!H$6-1)+3)</f>
        <v>20041838664.2467</v>
      </c>
      <c r="I41" s="174" t="n">
        <f aca="false">INDEX(Perf!$C$98:$Q$98,3*(Unit_Cost!I$6-1)+3)</f>
        <v>24234237528.7831</v>
      </c>
      <c r="J41" s="174" t="n">
        <f aca="false">INDEX(Perf!$C$98:$Q$98,3*(Unit_Cost!J$6-1)+3)</f>
        <v>24234237528.7831</v>
      </c>
      <c r="K41" s="174" t="n">
        <f aca="false">INDEX(Perf!$C$98:$Q$98,3*(Unit_Cost!K$6-1)+3)</f>
        <v>24234237528.7831</v>
      </c>
      <c r="L41" s="174" t="n">
        <f aca="false">INDEX(Perf!$C$98:$Q$98,3*(Unit_Cost!L$6-1)+3)</f>
        <v>51167890551.5595</v>
      </c>
      <c r="M41" s="174" t="n">
        <f aca="false">INDEX(Perf!$C$98:$Q$98,3*(Unit_Cost!M$6-1)+3)</f>
        <v>51167890551.5595</v>
      </c>
      <c r="N41" s="174" t="n">
        <f aca="false">INDEX(Perf!$C$98:$Q$98,3*(Unit_Cost!N$6-1)+3)</f>
        <v>51167890551.5595</v>
      </c>
      <c r="O41" s="174" t="n">
        <f aca="false">INDEX(Perf!$C$98:$Q$98,3*(Unit_Cost!O$6-1)+3)</f>
        <v>74400955991.7707</v>
      </c>
      <c r="P41" s="174" t="n">
        <f aca="false">INDEX(Perf!$C$98:$Q$98,3*(Unit_Cost!P$6-1)+3)</f>
        <v>74400955991.7707</v>
      </c>
      <c r="Q41" s="174" t="n">
        <f aca="false">INDEX(Perf!$C$98:$Q$98,3*(Unit_Cost!Q$6-1)+3)</f>
        <v>74400955991.7707</v>
      </c>
      <c r="R41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53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54" t="s">
        <v>1951</v>
      </c>
      <c r="U41" s="53" t="str">
        <f aca="false">IF(V41=0,"—",LEFT(TEXT(V41,"0"),4)&amp;"-"&amp;MID(TEXT(V41,"0"),5,2)&amp;"-"&amp;RIGHT(TEXT(V41,"0"),2))</f>
        <v>2026-10-05</v>
      </c>
      <c r="V41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66" t="s">
        <v>1954</v>
      </c>
      <c r="X41" s="104" t="n">
        <f aca="false">IF(ISNUMBER(FIND("上限",S41)),1,0)</f>
        <v>1</v>
      </c>
      <c r="Y41" s="104" t="n">
        <v>1</v>
      </c>
    </row>
    <row r="42" customFormat="false" ht="15" hidden="false" customHeight="true" outlineLevel="0" collapsed="false">
      <c r="A42" s="36" t="s">
        <v>1972</v>
      </c>
      <c r="B42" s="36" t="s">
        <v>83</v>
      </c>
      <c r="C42" s="175" t="n">
        <f aca="false">INDEX(Perf!$C$120:$Q$120,3*(Unit_Cost!C$6-1)+3)</f>
        <v>0.075760760393901</v>
      </c>
      <c r="D42" s="175" t="n">
        <f aca="false">INDEX(Perf!$C$120:$Q$120,3*(Unit_Cost!D$6-1)+3)</f>
        <v>0.075760760393901</v>
      </c>
      <c r="E42" s="175" t="n">
        <f aca="false">INDEX(Perf!$C$120:$Q$120,3*(Unit_Cost!E$6-1)+3)</f>
        <v>0.075760760393901</v>
      </c>
      <c r="F42" s="175" t="n">
        <f aca="false">INDEX(Perf!$C$120:$Q$120,3*(Unit_Cost!F$6-1)+3)</f>
        <v>0.39168780358556</v>
      </c>
      <c r="G42" s="175" t="n">
        <f aca="false">INDEX(Perf!$C$120:$Q$120,3*(Unit_Cost!G$6-1)+3)</f>
        <v>0.39168780358556</v>
      </c>
      <c r="H42" s="175" t="n">
        <f aca="false">INDEX(Perf!$C$120:$Q$120,3*(Unit_Cost!H$6-1)+3)</f>
        <v>0.39168780358556</v>
      </c>
      <c r="I42" s="175" t="n">
        <f aca="false">INDEX(Perf!$C$120:$Q$120,3*(Unit_Cost!I$6-1)+3)</f>
        <v>0.473621977915297</v>
      </c>
      <c r="J42" s="175" t="n">
        <f aca="false">INDEX(Perf!$C$120:$Q$120,3*(Unit_Cost!J$6-1)+3)</f>
        <v>0.473621977915297</v>
      </c>
      <c r="K42" s="175" t="n">
        <f aca="false">INDEX(Perf!$C$120:$Q$120,3*(Unit_Cost!K$6-1)+3)</f>
        <v>0.473621977915297</v>
      </c>
      <c r="L42" s="175" t="n">
        <f aca="false">INDEX(Perf!$C$120:$Q$120,3*(Unit_Cost!L$6-1)+3)</f>
        <v>1</v>
      </c>
      <c r="M42" s="175" t="n">
        <f aca="false">INDEX(Perf!$C$120:$Q$120,3*(Unit_Cost!M$6-1)+3)</f>
        <v>1</v>
      </c>
      <c r="N42" s="175" t="n">
        <f aca="false">INDEX(Perf!$C$120:$Q$120,3*(Unit_Cost!N$6-1)+3)</f>
        <v>1</v>
      </c>
      <c r="O42" s="175" t="n">
        <f aca="false">INDEX(Perf!$C$120:$Q$120,3*(Unit_Cost!O$6-1)+3)</f>
        <v>1.4540555647257</v>
      </c>
      <c r="P42" s="175" t="n">
        <f aca="false">INDEX(Perf!$C$120:$Q$120,3*(Unit_Cost!P$6-1)+3)</f>
        <v>1.4540555647257</v>
      </c>
      <c r="Q42" s="175" t="n">
        <f aca="false">INDEX(Perf!$C$120:$Q$120,3*(Unit_Cost!Q$6-1)+3)</f>
        <v>1.4540555647257</v>
      </c>
      <c r="R42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53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54" t="s">
        <v>1951</v>
      </c>
      <c r="U42" s="53" t="str">
        <f aca="false">IF(V42=0,"—",LEFT(TEXT(V42,"0"),4)&amp;"-"&amp;MID(TEXT(V42,"0"),5,2)&amp;"-"&amp;RIGHT(TEXT(V42,"0"),2))</f>
        <v>2026-10-05</v>
      </c>
      <c r="V42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66" t="s">
        <v>1954</v>
      </c>
      <c r="X42" s="104" t="n">
        <f aca="false">IF(ISNUMBER(FIND("上限",S42)),1,0)</f>
        <v>1</v>
      </c>
      <c r="Y42" s="104" t="n">
        <v>1</v>
      </c>
    </row>
    <row r="43" customFormat="false" ht="15" hidden="false" customHeight="true" outlineLevel="0" collapsed="false">
      <c r="A43" s="35" t="s">
        <v>1898</v>
      </c>
      <c r="B43" s="36" t="s">
        <v>774</v>
      </c>
      <c r="C43" s="38" t="n">
        <f aca="false">Unit_Cost!C42</f>
        <v>0.458985762161673</v>
      </c>
      <c r="D43" s="38" t="n">
        <f aca="false">Unit_Cost!D42</f>
        <v>0.661971089757736</v>
      </c>
      <c r="E43" s="38" t="n">
        <f aca="false">Unit_Cost!E42</f>
        <v>1.14129198914661</v>
      </c>
      <c r="F43" s="38" t="n">
        <f aca="false">Unit_Cost!F42</f>
        <v>0.0632257988615471</v>
      </c>
      <c r="G43" s="38" t="n">
        <f aca="false">Unit_Cost!G42</f>
        <v>0.0851061866298072</v>
      </c>
      <c r="H43" s="38" t="n">
        <f aca="false">Unit_Cost!H42</f>
        <v>0.138457009695942</v>
      </c>
      <c r="I43" s="38" t="n">
        <f aca="false">Unit_Cost!I42</f>
        <v>0.0555025485911051</v>
      </c>
      <c r="J43" s="38" t="n">
        <f aca="false">Unit_Cost!J42</f>
        <v>0.0811091845387063</v>
      </c>
      <c r="K43" s="38" t="n">
        <f aca="false">Unit_Cost!K42</f>
        <v>0.152162393056257</v>
      </c>
      <c r="L43" s="38" t="n">
        <f aca="false">Unit_Cost!L42</f>
        <v>0.044856651194314</v>
      </c>
      <c r="M43" s="38" t="n">
        <f aca="false">Unit_Cost!M42</f>
        <v>0.0581965922522752</v>
      </c>
      <c r="N43" s="38" t="n">
        <f aca="false">Unit_Cost!N42</f>
        <v>0.0942950047796553</v>
      </c>
      <c r="O43" s="38" t="n">
        <f aca="false">Unit_Cost!O42</f>
        <v>0.0356993155394807</v>
      </c>
      <c r="P43" s="38" t="n">
        <f aca="false">Unit_Cost!P42</f>
        <v>0.0548847439465106</v>
      </c>
      <c r="Q43" s="38" t="n">
        <f aca="false">Unit_Cost!Q42</f>
        <v>0.100601348148283</v>
      </c>
      <c r="R43" s="85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$522)&gt;0,"B","A"))</f>
        <v>B</v>
      </c>
      <c r="S43" s="53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54" t="s">
        <v>1951</v>
      </c>
      <c r="U43" s="53" t="str">
        <f aca="false">IF(V43=0,"—",LEFT(TEXT(V43,"0"),4)&amp;"-"&amp;MID(TEXT(V43,"0"),5,2)&amp;"-"&amp;RIGHT(TEXT(V43,"0"),2))</f>
        <v>2026-10-05</v>
      </c>
      <c r="V43" s="8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$522)</f>
        <v>20261005</v>
      </c>
      <c r="W43" s="66" t="s">
        <v>1956</v>
      </c>
      <c r="X43" s="104" t="n">
        <f aca="false">IF(ISNUMBER(FIND("上限",S43)),1,0)</f>
        <v>1</v>
      </c>
      <c r="Y43" s="104" t="n">
        <v>1</v>
      </c>
    </row>
    <row r="44" customFormat="false" ht="15" hidden="false" customHeight="true" outlineLevel="0" collapsed="false">
      <c r="A44" s="35" t="s">
        <v>1973</v>
      </c>
      <c r="B44" s="36" t="s">
        <v>774</v>
      </c>
      <c r="C44" s="176" t="n">
        <f aca="false">Unit_Cost!C43</f>
        <v>0.000178058670640044</v>
      </c>
      <c r="D44" s="176" t="n">
        <f aca="false">Unit_Cost!D43</f>
        <v>0.000256804681019464</v>
      </c>
      <c r="E44" s="176" t="n">
        <f aca="false">Unit_Cost!E43</f>
        <v>0.000442752153013402</v>
      </c>
      <c r="F44" s="176" t="n">
        <f aca="false">Unit_Cost!F43</f>
        <v>0.000248005862262775</v>
      </c>
      <c r="G44" s="176" t="n">
        <f aca="false">Unit_Cost!G43</f>
        <v>0.000333832605978488</v>
      </c>
      <c r="H44" s="176" t="n">
        <f aca="false">Unit_Cost!H43</f>
        <v>0.000543103459256589</v>
      </c>
      <c r="I44" s="176" t="n">
        <f aca="false">Unit_Cost!I43</f>
        <v>0.00032656663108191</v>
      </c>
      <c r="J44" s="176" t="n">
        <f aca="false">Unit_Cost!J43</f>
        <v>0.000477231295084189</v>
      </c>
      <c r="K44" s="176" t="n">
        <f aca="false">Unit_Cost!K43</f>
        <v>0.000895295105163995</v>
      </c>
      <c r="L44" s="176" t="n">
        <f aca="false">Unit_Cost!L43</f>
        <v>0.000615832370692479</v>
      </c>
      <c r="M44" s="176" t="n">
        <f aca="false">Unit_Cost!M43</f>
        <v>0.000798975055397919</v>
      </c>
      <c r="N44" s="176" t="n">
        <f aca="false">Unit_Cost!N43</f>
        <v>0.00129456646432123</v>
      </c>
      <c r="O44" s="176" t="n">
        <f aca="false">Unit_Cost!O43</f>
        <v>0.000980224494492091</v>
      </c>
      <c r="P44" s="176" t="n">
        <f aca="false">Unit_Cost!P43</f>
        <v>0.00150701405831712</v>
      </c>
      <c r="Q44" s="176" t="n">
        <f aca="false">Unit_Cost!Q43</f>
        <v>0.00276229121325355</v>
      </c>
      <c r="R44" s="85" t="str">
        <f aca="false">IF(SUM(Gov_Map!$AG$5:$AG$103,Gov_Map!$AG$183:$AG$184,Gov_Map!$AG$209,Gov_Map!$AG$212,Gov_Map!$AG$221:$AG$230,Gov_Map!$AG$239,Gov_Map!$AG$420,Gov_Map!$AG$430,Gov_Map!$AG$510:$AG$518,Gov_Map!$AG$521:$AG$522,Gov_Map!$AG$574:$AG$578)&gt;0,"C",IF(SUM(Gov_Map!$AH$5:$AH$103,Gov_Map!$AH$183:$AH$184,Gov_Map!$AH$209,Gov_Map!$AH$212,Gov_Map!$AH$221:$AH$230,Gov_Map!$AH$239,Gov_Map!$AH$420,Gov_Map!$AH$430,Gov_Map!$AH$510:$AH$518,Gov_Map!$AH$521:$AH$522,Gov_Map!$AH$574:$AH$578)&gt;0,"B","A"))</f>
        <v>B</v>
      </c>
      <c r="S44" s="53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54" t="s">
        <v>1951</v>
      </c>
      <c r="U44" s="53" t="str">
        <f aca="false">IF(V44=0,"—",LEFT(TEXT(V44,"0"),4)&amp;"-"&amp;MID(TEXT(V44,"0"),5,2)&amp;"-"&amp;RIGHT(TEXT(V44,"0"),2))</f>
        <v>2026-10-05</v>
      </c>
      <c r="V44" s="82" t="n">
        <f aca="false">MAX(Gov_Map!$AJ$5:$AJ$103,Gov_Map!$AJ$183:$AJ$184,Gov_Map!$AJ$209,Gov_Map!$AJ$212,Gov_Map!$AJ$221:$AJ$230,Gov_Map!$AJ$239,Gov_Map!$AJ$420,Gov_Map!$AJ$430,Gov_Map!$AJ$510:$AJ$518,Gov_Map!$AJ$521:$AJ$522,Gov_Map!$AJ$574:$AJ$578)</f>
        <v>20261005</v>
      </c>
      <c r="W44" s="66" t="s">
        <v>1958</v>
      </c>
      <c r="X44" s="104" t="n">
        <f aca="false">IF(ISNUMBER(FIND("上限",S44)),1,0)</f>
        <v>1</v>
      </c>
      <c r="Y44" s="104" t="n">
        <v>1</v>
      </c>
    </row>
    <row r="45" customFormat="false" ht="15" hidden="false" customHeight="true" outlineLevel="0" collapsed="false">
      <c r="A45" s="36" t="s">
        <v>1899</v>
      </c>
      <c r="B45" s="36" t="s">
        <v>774</v>
      </c>
      <c r="C45" s="48" t="n">
        <f aca="false">Unit_Cost!C44</f>
        <v>12.5799112589712</v>
      </c>
      <c r="D45" s="48" t="n">
        <f aca="false">Unit_Cost!D44</f>
        <v>18.1433461594468</v>
      </c>
      <c r="E45" s="48" t="n">
        <f aca="false">Unit_Cost!E44</f>
        <v>31.2806041660653</v>
      </c>
      <c r="F45" s="48" t="n">
        <f aca="false">Unit_Cost!F44</f>
        <v>2.55371841545571</v>
      </c>
      <c r="G45" s="48" t="n">
        <f aca="false">Unit_Cost!G44</f>
        <v>3.43747710553532</v>
      </c>
      <c r="H45" s="48" t="n">
        <f aca="false">Unit_Cost!H44</f>
        <v>5.59234081302371</v>
      </c>
      <c r="I45" s="48" t="n">
        <f aca="false">Unit_Cost!I44</f>
        <v>2.78972017225788</v>
      </c>
      <c r="J45" s="48" t="n">
        <f aca="false">Unit_Cost!J44</f>
        <v>4.07678447218689</v>
      </c>
      <c r="K45" s="48" t="n">
        <f aca="false">Unit_Cost!K44</f>
        <v>7.64812622381274</v>
      </c>
      <c r="L45" s="48" t="n">
        <f aca="false">Unit_Cost!L44</f>
        <v>1.37133586956278</v>
      </c>
      <c r="M45" s="48" t="n">
        <f aca="false">Unit_Cost!M44</f>
        <v>1.77915810291208</v>
      </c>
      <c r="N45" s="48" t="n">
        <f aca="false">Unit_Cost!N44</f>
        <v>2.88274133115239</v>
      </c>
      <c r="O45" s="48" t="n">
        <f aca="false">Unit_Cost!O44</f>
        <v>0.978773295038209</v>
      </c>
      <c r="P45" s="48" t="n">
        <f aca="false">Unit_Cost!P44</f>
        <v>1.50478295922634</v>
      </c>
      <c r="Q45" s="48" t="n">
        <f aca="false">Unit_Cost!Q44</f>
        <v>2.75820170567374</v>
      </c>
      <c r="R45" s="85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45" s="53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54" t="s">
        <v>1951</v>
      </c>
      <c r="U45" s="53" t="str">
        <f aca="false">IF(V45=0,"—",LEFT(TEXT(V45,"0"),4)&amp;"-"&amp;MID(TEXT(V45,"0"),5,2)&amp;"-"&amp;RIGHT(TEXT(V45,"0"),2))</f>
        <v>2026-10-05</v>
      </c>
      <c r="V45" s="82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45" s="66" t="s">
        <v>1959</v>
      </c>
      <c r="X45" s="104" t="n">
        <f aca="false">IF(ISNUMBER(FIND("上限",S45)),1,0)</f>
        <v>1</v>
      </c>
      <c r="Y45" s="104" t="n">
        <v>1</v>
      </c>
    </row>
    <row r="46" customFormat="false" ht="15" hidden="false" customHeight="true" outlineLevel="0" collapsed="false">
      <c r="A46" s="36" t="s">
        <v>1974</v>
      </c>
      <c r="B46" s="36" t="s">
        <v>774</v>
      </c>
      <c r="C46" s="38" t="n">
        <f aca="false">Unit_Cost!C48</f>
        <v>9.70259626143025</v>
      </c>
      <c r="D46" s="38" t="n">
        <f aca="false">Unit_Cost!D48</f>
        <v>13.472692176268</v>
      </c>
      <c r="E46" s="38" t="n">
        <f aca="false">Unit_Cost!E48</f>
        <v>23.2713850909453</v>
      </c>
      <c r="F46" s="38" t="n">
        <f aca="false">Unit_Cost!F48</f>
        <v>1.96813501912094</v>
      </c>
      <c r="G46" s="38" t="n">
        <f aca="false">Unit_Cost!G48</f>
        <v>2.54578263130485</v>
      </c>
      <c r="H46" s="38" t="n">
        <f aca="false">Unit_Cost!H48</f>
        <v>4.13092241499403</v>
      </c>
      <c r="I46" s="38" t="n">
        <f aca="false">Unit_Cost!I48</f>
        <v>2.16327770615674</v>
      </c>
      <c r="J46" s="38" t="n">
        <f aca="false">Unit_Cost!J48</f>
        <v>3.04377502731754</v>
      </c>
      <c r="K46" s="38" t="n">
        <f aca="false">Unit_Cost!K48</f>
        <v>5.75552272771587</v>
      </c>
      <c r="L46" s="38" t="n">
        <f aca="false">Unit_Cost!L48</f>
        <v>1.06608783984335</v>
      </c>
      <c r="M46" s="38" t="n">
        <f aca="false">Unit_Cost!M48</f>
        <v>1.32842093155666</v>
      </c>
      <c r="N46" s="38" t="n">
        <f aca="false">Unit_Cost!N48</f>
        <v>2.15908957818121</v>
      </c>
      <c r="O46" s="38" t="n">
        <f aca="false">Unit_Cost!O48</f>
        <v>0.761778598410081</v>
      </c>
      <c r="P46" s="38" t="n">
        <f aca="false">Unit_Cost!P48</f>
        <v>1.12835072173128</v>
      </c>
      <c r="Q46" s="38" t="n">
        <f aca="false">Unit_Cost!Q48</f>
        <v>2.08773882042904</v>
      </c>
      <c r="R46" s="85" t="str">
        <f aca="false">IF(SUM(Gov_Map!$AG$5:$AG$40,Gov_Map!$AG$44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$578)&gt;0,"C",IF(SUM(Gov_Map!$AH$5:$AH$40,Gov_Map!$AH$44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$578)&gt;0,"B","A"))</f>
        <v>B</v>
      </c>
      <c r="S46" s="53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54" t="s">
        <v>1951</v>
      </c>
      <c r="U46" s="53" t="str">
        <f aca="false">IF(V46=0,"—",LEFT(TEXT(V46,"0"),4)&amp;"-"&amp;MID(TEXT(V46,"0"),5,2)&amp;"-"&amp;RIGHT(TEXT(V46,"0"),2))</f>
        <v>2026-10-05</v>
      </c>
      <c r="V46" s="82" t="n">
        <f aca="false">MAX(Gov_Map!$AJ$5:$AJ$40,Gov_Map!$AJ$44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$578)</f>
        <v>20261005</v>
      </c>
      <c r="W46" s="66" t="s">
        <v>1961</v>
      </c>
      <c r="X46" s="104" t="n">
        <f aca="false">IF(ISNUMBER(FIND("上限",S46)),1,0)</f>
        <v>1</v>
      </c>
      <c r="Y46" s="104" t="n">
        <v>1</v>
      </c>
    </row>
    <row r="47" customFormat="false" ht="15" hidden="false" customHeight="true" outlineLevel="0" collapsed="false">
      <c r="A47" s="36" t="s">
        <v>1975</v>
      </c>
      <c r="B47" s="36" t="s">
        <v>790</v>
      </c>
      <c r="C47" s="43" t="n">
        <f aca="false">INDEX(Perf!$C$117:$Q$117,3*(Unit_Cost!C$6-1)+3)</f>
        <v>0.16701592717146</v>
      </c>
      <c r="D47" s="43" t="n">
        <f aca="false">INDEX(Perf!$C$117:$Q$117,3*(Unit_Cost!D$6-1)+3)</f>
        <v>0.16701592717146</v>
      </c>
      <c r="E47" s="43" t="n">
        <f aca="false">INDEX(Perf!$C$117:$Q$117,3*(Unit_Cost!E$6-1)+3)</f>
        <v>0.16701592717146</v>
      </c>
      <c r="F47" s="43" t="n">
        <f aca="false">INDEX(Perf!$C$117:$Q$117,3*(Unit_Cost!F$6-1)+3)</f>
        <v>0.863568061990211</v>
      </c>
      <c r="G47" s="43" t="n">
        <f aca="false">INDEX(Perf!$C$117:$Q$117,3*(Unit_Cost!G$6-1)+3)</f>
        <v>0.863568061990211</v>
      </c>
      <c r="H47" s="43" t="n">
        <f aca="false">INDEX(Perf!$C$117:$Q$117,3*(Unit_Cost!H$6-1)+3)</f>
        <v>0.863568061990211</v>
      </c>
      <c r="I47" s="43" t="n">
        <f aca="false">INDEX(Perf!$C$117:$Q$117,3*(Unit_Cost!I$6-1)+3)</f>
        <v>1.0442157971414</v>
      </c>
      <c r="J47" s="43" t="n">
        <f aca="false">INDEX(Perf!$C$117:$Q$117,3*(Unit_Cost!J$6-1)+3)</f>
        <v>1.0442157971414</v>
      </c>
      <c r="K47" s="43" t="n">
        <f aca="false">INDEX(Perf!$C$117:$Q$117,3*(Unit_Cost!K$6-1)+3)</f>
        <v>1.0442157971414</v>
      </c>
      <c r="L47" s="43" t="n">
        <f aca="false">INDEX(Perf!$C$117:$Q$117,3*(Unit_Cost!L$6-1)+3)</f>
        <v>2.20498492836244</v>
      </c>
      <c r="M47" s="43" t="n">
        <f aca="false">INDEX(Perf!$C$117:$Q$117,3*(Unit_Cost!M$6-1)+3)</f>
        <v>2.20498492836244</v>
      </c>
      <c r="N47" s="43" t="n">
        <f aca="false">INDEX(Perf!$C$117:$Q$117,3*(Unit_Cost!N$6-1)+3)</f>
        <v>2.20498492836244</v>
      </c>
      <c r="O47" s="43" t="n">
        <f aca="false">INDEX(Perf!$C$117:$Q$117,3*(Unit_Cost!O$6-1)+3)</f>
        <v>3.20653316012323</v>
      </c>
      <c r="P47" s="43" t="n">
        <f aca="false">INDEX(Perf!$C$117:$Q$117,3*(Unit_Cost!P$6-1)+3)</f>
        <v>3.20653316012323</v>
      </c>
      <c r="Q47" s="43" t="n">
        <f aca="false">INDEX(Perf!$C$117:$Q$117,3*(Unit_Cost!Q$6-1)+3)</f>
        <v>3.20653316012323</v>
      </c>
      <c r="R47" s="85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53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54" t="s">
        <v>1951</v>
      </c>
      <c r="U47" s="53" t="str">
        <f aca="false">IF(V47=0,"—",LEFT(TEXT(V47,"0"),4)&amp;"-"&amp;MID(TEXT(V47,"0"),5,2)&amp;"-"&amp;RIGHT(TEXT(V47,"0"),2))</f>
        <v>2026-10-05</v>
      </c>
      <c r="V47" s="82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66" t="s">
        <v>1963</v>
      </c>
      <c r="X47" s="104" t="n">
        <f aca="false">IF(ISNUMBER(FIND("上限",S47)),1,0)</f>
        <v>1</v>
      </c>
      <c r="Y47" s="104" t="n">
        <v>1</v>
      </c>
    </row>
    <row r="48" customFormat="false" ht="15" hidden="false" customHeight="true" outlineLevel="0" collapsed="false">
      <c r="A48" s="35" t="s">
        <v>1976</v>
      </c>
      <c r="B48" s="36" t="s">
        <v>79</v>
      </c>
      <c r="C48" s="177" t="n">
        <f aca="false">Serving!$C$17</f>
        <v>0.6</v>
      </c>
      <c r="R48" s="85" t="str">
        <f aca="false">IF(SUM(Gov_Map!$AG$240)&gt;0,"C",IF(SUM(Gov_Map!$AH$240)&gt;0,"B","A"))</f>
        <v>B</v>
      </c>
      <c r="S48" s="53" t="str">
        <f aca="false">IF(R48="—","—",IF(R48="A","基準輸入",IF(R48="B","情境、相對比較、反轉門檻","探索")))</f>
        <v>情境、相對比較、反轉門檻</v>
      </c>
      <c r="T48" s="54" t="s">
        <v>1977</v>
      </c>
      <c r="U48" s="53" t="str">
        <f aca="false">IF(V48=0,"—",LEFT(TEXT(V48,"0"),4)&amp;"-"&amp;MID(TEXT(V48,"0"),5,2)&amp;"-"&amp;RIGHT(TEXT(V48,"0"),2))</f>
        <v>—</v>
      </c>
      <c r="V48" s="82" t="n">
        <f aca="false">MAX(Gov_Map!$AJ$240)</f>
        <v>0</v>
      </c>
      <c r="W48" s="66" t="s">
        <v>1978</v>
      </c>
      <c r="X48" s="104" t="n">
        <f aca="false">IF(ISNUMBER(FIND("上限",S48)),1,0)</f>
        <v>0</v>
      </c>
      <c r="Y48" s="104" t="n">
        <v>0</v>
      </c>
    </row>
    <row r="50" customFormat="false" ht="15" hidden="false" customHeight="true" outlineLevel="0" collapsed="false">
      <c r="A50" s="35" t="s">
        <v>1979</v>
      </c>
      <c r="C50" s="47" t="s">
        <v>1980</v>
      </c>
    </row>
    <row r="52" customFormat="false" ht="15" hidden="false" customHeight="true" outlineLevel="0" collapsed="false">
      <c r="A52" s="34" t="s">
        <v>1981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227</v>
      </c>
    </row>
    <row r="54" customFormat="false" ht="15" hidden="false" customHeight="true" outlineLevel="0" collapsed="false">
      <c r="A54" s="35" t="s">
        <v>1982</v>
      </c>
      <c r="B54" s="36" t="s">
        <v>988</v>
      </c>
      <c r="C54" s="41" t="n">
        <f aca="false">INDEX(Training!$C$106:$Q$106,3*(Unit_Cost!C$6-1)+1)</f>
        <v>6394168.86869692</v>
      </c>
      <c r="D54" s="41" t="n">
        <f aca="false">INDEX(Training!$C$106:$Q$106,3*(Unit_Cost!D$6-1)+1)</f>
        <v>6394168.86869692</v>
      </c>
      <c r="E54" s="41" t="n">
        <f aca="false">INDEX(Training!$C$106:$Q$106,3*(Unit_Cost!E$6-1)+1)</f>
        <v>6394168.86869692</v>
      </c>
      <c r="F54" s="41" t="n">
        <f aca="false">INDEX(Training!$C$106:$Q$106,3*(Unit_Cost!F$6-1)+1)</f>
        <v>2079780.169416</v>
      </c>
      <c r="G54" s="41" t="n">
        <f aca="false">INDEX(Training!$C$106:$Q$106,3*(Unit_Cost!G$6-1)+1)</f>
        <v>2079780.169416</v>
      </c>
      <c r="H54" s="41" t="n">
        <f aca="false">INDEX(Training!$C$106:$Q$106,3*(Unit_Cost!H$6-1)+1)</f>
        <v>2079780.169416</v>
      </c>
      <c r="I54" s="41" t="n">
        <f aca="false">INDEX(Training!$C$106:$Q$106,3*(Unit_Cost!I$6-1)+1)</f>
        <v>1775249.94775683</v>
      </c>
      <c r="J54" s="41" t="n">
        <f aca="false">INDEX(Training!$C$106:$Q$106,3*(Unit_Cost!J$6-1)+1)</f>
        <v>1775249.94775683</v>
      </c>
      <c r="K54" s="41" t="n">
        <f aca="false">INDEX(Training!$C$106:$Q$106,3*(Unit_Cost!K$6-1)+1)</f>
        <v>1775249.94775683</v>
      </c>
      <c r="L54" s="41" t="n">
        <f aca="false">INDEX(Training!$C$106:$Q$106,3*(Unit_Cost!L$6-1)+1)</f>
        <v>704197.648874947</v>
      </c>
      <c r="M54" s="41" t="n">
        <f aca="false">INDEX(Training!$C$106:$Q$106,3*(Unit_Cost!M$6-1)+1)</f>
        <v>704197.648874947</v>
      </c>
      <c r="N54" s="41" t="n">
        <f aca="false">INDEX(Training!$C$106:$Q$106,3*(Unit_Cost!N$6-1)+1)</f>
        <v>704197.648874947</v>
      </c>
      <c r="O54" s="41" t="n">
        <f aca="false">INDEX(Training!$C$106:$Q$106,3*(Unit_Cost!O$6-1)+1)</f>
        <v>305060.599619606</v>
      </c>
      <c r="P54" s="41" t="n">
        <f aca="false">INDEX(Training!$C$106:$Q$106,3*(Unit_Cost!P$6-1)+1)</f>
        <v>305060.599619606</v>
      </c>
      <c r="Q54" s="41" t="n">
        <f aca="false">INDEX(Training!$C$106:$Q$106,3*(Unit_Cost!Q$6-1)+1)</f>
        <v>305060.599619606</v>
      </c>
      <c r="R54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4" s="53" t="str">
        <f aca="false">IF(R54="—","—",IF(R54="A","基準輸入",IF(R54="B","情境、相對比較、反轉門檻","探索")))</f>
        <v>情境、相對比較、反轉門檻</v>
      </c>
      <c r="T54" s="54" t="s">
        <v>587</v>
      </c>
      <c r="U54" s="53" t="str">
        <f aca="false">IF(V54=0,"—",LEFT(TEXT(V54,"0"),4)&amp;"-"&amp;MID(TEXT(V54,"0"),5,2)&amp;"-"&amp;RIGHT(TEXT(V54,"0"),2))</f>
        <v>2026-10-05</v>
      </c>
      <c r="V54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4" s="66" t="s">
        <v>1983</v>
      </c>
      <c r="X54" s="104" t="n">
        <f aca="false">IF(ISNUMBER(FIND("上限",S54)),1,0)</f>
        <v>0</v>
      </c>
      <c r="Y54" s="104" t="n">
        <v>0</v>
      </c>
    </row>
    <row r="55" customFormat="false" ht="15" hidden="false" customHeight="true" outlineLevel="0" collapsed="false">
      <c r="A55" s="35" t="s">
        <v>1984</v>
      </c>
      <c r="B55" s="36" t="s">
        <v>844</v>
      </c>
      <c r="C55" s="178" t="n">
        <f aca="false">INDEX(Training!$C$106:$Q$106,3*(Unit_Cost!C$6-1)+1)*Unit_Cost!C$8/1000000</f>
        <v>7.1158575538008</v>
      </c>
      <c r="D55" s="178" t="n">
        <f aca="false">INDEX(Training!$C$106:$Q$106,3*(Unit_Cost!D$6-1)+1)*Unit_Cost!D$8/1000000</f>
        <v>10.2628281044394</v>
      </c>
      <c r="E55" s="178" t="n">
        <f aca="false">INDEX(Training!$C$106:$Q$106,3*(Unit_Cost!E$6-1)+1)*Unit_Cost!E$8/1000000</f>
        <v>17.6939502084177</v>
      </c>
      <c r="F55" s="178" t="n">
        <f aca="false">INDEX(Training!$C$106:$Q$106,3*(Unit_Cost!F$6-1)+1)*Unit_Cost!F$8/1000000</f>
        <v>3.22373546395647</v>
      </c>
      <c r="G55" s="178" t="n">
        <f aca="false">INDEX(Training!$C$106:$Q$106,3*(Unit_Cost!G$6-1)+1)*Unit_Cost!G$8/1000000</f>
        <v>4.33936521136578</v>
      </c>
      <c r="H55" s="178" t="n">
        <f aca="false">INDEX(Training!$C$106:$Q$106,3*(Unit_Cost!H$6-1)+1)*Unit_Cost!H$8/1000000</f>
        <v>7.05959877814428</v>
      </c>
      <c r="I55" s="178" t="n">
        <f aca="false">INDEX(Training!$C$106:$Q$106,3*(Unit_Cost!I$6-1)+1)*Unit_Cost!I$8/1000000</f>
        <v>3.62335871729553</v>
      </c>
      <c r="J55" s="178" t="n">
        <f aca="false">INDEX(Training!$C$106:$Q$106,3*(Unit_Cost!J$6-1)+1)*Unit_Cost!J$8/1000000</f>
        <v>5.29503019791332</v>
      </c>
      <c r="K55" s="178" t="n">
        <f aca="false">INDEX(Training!$C$106:$Q$106,3*(Unit_Cost!K$6-1)+1)*Unit_Cost!K$8/1000000</f>
        <v>9.93357867918331</v>
      </c>
      <c r="L55" s="178" t="n">
        <f aca="false">INDEX(Training!$C$106:$Q$106,3*(Unit_Cost!L$6-1)+1)*Unit_Cost!L$8/1000000</f>
        <v>2.71042317214205</v>
      </c>
      <c r="M55" s="178" t="n">
        <f aca="false">INDEX(Training!$C$106:$Q$106,3*(Unit_Cost!M$6-1)+1)*Unit_Cost!M$8/1000000</f>
        <v>3.51647722200591</v>
      </c>
      <c r="N55" s="178" t="n">
        <f aca="false">INDEX(Training!$C$106:$Q$106,3*(Unit_Cost!N$6-1)+1)*Unit_Cost!N$8/1000000</f>
        <v>5.69769162804601</v>
      </c>
      <c r="O55" s="178" t="n">
        <f aca="false">INDEX(Training!$C$106:$Q$106,3*(Unit_Cost!O$6-1)+1)*Unit_Cost!O$8/1000000</f>
        <v>1.86892420032239</v>
      </c>
      <c r="P55" s="178" t="n">
        <f aca="false">INDEX(Training!$C$106:$Q$106,3*(Unit_Cost!P$6-1)+1)*Unit_Cost!P$8/1000000</f>
        <v>2.87331632665873</v>
      </c>
      <c r="Q55" s="178" t="n">
        <f aca="false">INDEX(Training!$C$106:$Q$106,3*(Unit_Cost!Q$6-1)+1)*Unit_Cost!Q$8/1000000</f>
        <v>5.26666383649436</v>
      </c>
      <c r="R55" s="8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55" s="53" t="str">
        <f aca="false">IF(R55="—","—",IF(R55="A","基準輸入",IF(R55="B","情境、相對比較、反轉門檻","探索")))</f>
        <v>情境、相對比較、反轉門檻</v>
      </c>
      <c r="T55" s="54" t="s">
        <v>587</v>
      </c>
      <c r="U55" s="53" t="str">
        <f aca="false">IF(V55=0,"—",LEFT(TEXT(V55,"0"),4)&amp;"-"&amp;MID(TEXT(V55,"0"),5,2)&amp;"-"&amp;RIGHT(TEXT(V55,"0"),2))</f>
        <v>2026-10-05</v>
      </c>
      <c r="V55" s="8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55" s="66" t="s">
        <v>1985</v>
      </c>
      <c r="X55" s="104" t="n">
        <f aca="false">IF(ISNUMBER(FIND("上限",S55)),1,0)</f>
        <v>0</v>
      </c>
      <c r="Y55" s="104" t="n">
        <v>0</v>
      </c>
    </row>
    <row r="56" customFormat="false" ht="15" hidden="false" customHeight="true" outlineLevel="0" collapsed="false">
      <c r="A56" s="35" t="s">
        <v>1986</v>
      </c>
      <c r="B56" s="36" t="s">
        <v>79</v>
      </c>
      <c r="C56" s="179" t="n">
        <f aca="false">INDEX(Training!$C$110:$Q$110,3*(Unit_Cost!C$6-1)+1)</f>
        <v>0.131230136086418</v>
      </c>
      <c r="D56" s="179" t="n">
        <f aca="false">INDEX(Training!$C$110:$Q$110,3*(Unit_Cost!D$6-1)+1)</f>
        <v>0.131230136086418</v>
      </c>
      <c r="E56" s="179" t="n">
        <f aca="false">INDEX(Training!$C$110:$Q$110,3*(Unit_Cost!E$6-1)+1)</f>
        <v>0.131230136086418</v>
      </c>
      <c r="F56" s="179" t="n">
        <f aca="false">INDEX(Training!$C$110:$Q$110,3*(Unit_Cost!F$6-1)+1)</f>
        <v>0.131230136086418</v>
      </c>
      <c r="G56" s="179" t="n">
        <f aca="false">INDEX(Training!$C$110:$Q$110,3*(Unit_Cost!G$6-1)+1)</f>
        <v>0.131230136086418</v>
      </c>
      <c r="H56" s="179" t="n">
        <f aca="false">INDEX(Training!$C$110:$Q$110,3*(Unit_Cost!H$6-1)+1)</f>
        <v>0.131230136086418</v>
      </c>
      <c r="I56" s="179" t="n">
        <f aca="false">INDEX(Training!$C$110:$Q$110,3*(Unit_Cost!I$6-1)+1)</f>
        <v>0.131230136086418</v>
      </c>
      <c r="J56" s="179" t="n">
        <f aca="false">INDEX(Training!$C$110:$Q$110,3*(Unit_Cost!J$6-1)+1)</f>
        <v>0.131230136086418</v>
      </c>
      <c r="K56" s="179" t="n">
        <f aca="false">INDEX(Training!$C$110:$Q$110,3*(Unit_Cost!K$6-1)+1)</f>
        <v>0.131230136086418</v>
      </c>
      <c r="L56" s="179" t="n">
        <f aca="false">INDEX(Training!$C$110:$Q$110,3*(Unit_Cost!L$6-1)+1)</f>
        <v>0.131230136086418</v>
      </c>
      <c r="M56" s="179" t="n">
        <f aca="false">INDEX(Training!$C$110:$Q$110,3*(Unit_Cost!M$6-1)+1)</f>
        <v>0.131230136086418</v>
      </c>
      <c r="N56" s="179" t="n">
        <f aca="false">INDEX(Training!$C$110:$Q$110,3*(Unit_Cost!N$6-1)+1)</f>
        <v>0.131230136086418</v>
      </c>
      <c r="O56" s="179" t="n">
        <f aca="false">INDEX(Training!$C$110:$Q$110,3*(Unit_Cost!O$6-1)+1)</f>
        <v>0.131230136086418</v>
      </c>
      <c r="P56" s="179" t="n">
        <f aca="false">INDEX(Training!$C$110:$Q$110,3*(Unit_Cost!P$6-1)+1)</f>
        <v>0.131230136086418</v>
      </c>
      <c r="Q56" s="179" t="n">
        <f aca="false">INDEX(Training!$C$110:$Q$110,3*(Unit_Cost!Q$6-1)+1)</f>
        <v>0.131230136086418</v>
      </c>
      <c r="R56" s="8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56" s="53" t="str">
        <f aca="false">IF(R56="—","—",IF(R56="A","基準輸入",IF(R56="B","情境、相對比較、反轉門檻","探索")))</f>
        <v>情境、相對比較、反轉門檻</v>
      </c>
      <c r="T56" s="54" t="s">
        <v>587</v>
      </c>
      <c r="U56" s="53" t="str">
        <f aca="false">IF(V56=0,"—",LEFT(TEXT(V56,"0"),4)&amp;"-"&amp;MID(TEXT(V56,"0"),5,2)&amp;"-"&amp;RIGHT(TEXT(V56,"0"),2))</f>
        <v>2026-10-05</v>
      </c>
      <c r="V56" s="8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56" s="66" t="s">
        <v>1987</v>
      </c>
      <c r="X56" s="104" t="n">
        <f aca="false">IF(ISNUMBER(FIND("上限",S56)),1,0)</f>
        <v>0</v>
      </c>
      <c r="Y56" s="104" t="n">
        <v>0</v>
      </c>
    </row>
    <row r="57" customFormat="false" ht="15" hidden="false" customHeight="true" outlineLevel="0" collapsed="false">
      <c r="A57" s="35" t="s">
        <v>1988</v>
      </c>
      <c r="B57" s="36" t="s">
        <v>79</v>
      </c>
      <c r="C57" s="180" t="n">
        <f aca="false">INDEX(Training!$C$111:$Q$111,3*(Unit_Cost!C$6-1)+1)</f>
        <v>0.30539979787603</v>
      </c>
      <c r="D57" s="180" t="n">
        <f aca="false">INDEX(Training!$C$111:$Q$111,3*(Unit_Cost!D$6-1)+1)</f>
        <v>0.30539979787603</v>
      </c>
      <c r="E57" s="180" t="n">
        <f aca="false">INDEX(Training!$C$111:$Q$111,3*(Unit_Cost!E$6-1)+1)</f>
        <v>0.30539979787603</v>
      </c>
      <c r="F57" s="180" t="n">
        <f aca="false">INDEX(Training!$C$111:$Q$111,3*(Unit_Cost!F$6-1)+1)</f>
        <v>0.269893093641953</v>
      </c>
      <c r="G57" s="180" t="n">
        <f aca="false">INDEX(Training!$C$111:$Q$111,3*(Unit_Cost!G$6-1)+1)</f>
        <v>0.269893093641953</v>
      </c>
      <c r="H57" s="180" t="n">
        <f aca="false">INDEX(Training!$C$111:$Q$111,3*(Unit_Cost!H$6-1)+1)</f>
        <v>0.269893093641953</v>
      </c>
      <c r="I57" s="180" t="n">
        <f aca="false">INDEX(Training!$C$111:$Q$111,3*(Unit_Cost!I$6-1)+1)</f>
        <v>0.238707389111481</v>
      </c>
      <c r="J57" s="180" t="n">
        <f aca="false">INDEX(Training!$C$111:$Q$111,3*(Unit_Cost!J$6-1)+1)</f>
        <v>0.238707389111481</v>
      </c>
      <c r="K57" s="180" t="n">
        <f aca="false">INDEX(Training!$C$111:$Q$111,3*(Unit_Cost!K$6-1)+1)</f>
        <v>0.238707389111481</v>
      </c>
      <c r="L57" s="180" t="n">
        <f aca="false">INDEX(Training!$C$111:$Q$111,3*(Unit_Cost!L$6-1)+1)</f>
        <v>0.286511860627156</v>
      </c>
      <c r="M57" s="180" t="n">
        <f aca="false">INDEX(Training!$C$111:$Q$111,3*(Unit_Cost!M$6-1)+1)</f>
        <v>0.286511860627156</v>
      </c>
      <c r="N57" s="180" t="n">
        <f aca="false">INDEX(Training!$C$111:$Q$111,3*(Unit_Cost!N$6-1)+1)</f>
        <v>0.286511860627156</v>
      </c>
      <c r="O57" s="180" t="n">
        <f aca="false">INDEX(Training!$C$111:$Q$111,3*(Unit_Cost!O$6-1)+1)</f>
        <v>0.26008816948871</v>
      </c>
      <c r="P57" s="180" t="n">
        <f aca="false">INDEX(Training!$C$111:$Q$111,3*(Unit_Cost!P$6-1)+1)</f>
        <v>0.26008816948871</v>
      </c>
      <c r="Q57" s="180" t="n">
        <f aca="false">INDEX(Training!$C$111:$Q$111,3*(Unit_Cost!Q$6-1)+1)</f>
        <v>0.26008816948871</v>
      </c>
      <c r="R57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57" s="53" t="str">
        <f aca="false">IF(R57="—","—",IF(R57="A","基準輸入",IF(R57="B","情境、相對比較、反轉門檻","探索")))</f>
        <v>情境、相對比較、反轉門檻</v>
      </c>
      <c r="T57" s="54" t="s">
        <v>587</v>
      </c>
      <c r="U57" s="53" t="str">
        <f aca="false">IF(V57=0,"—",LEFT(TEXT(V57,"0"),4)&amp;"-"&amp;MID(TEXT(V57,"0"),5,2)&amp;"-"&amp;RIGHT(TEXT(V57,"0"),2))</f>
        <v>2026-10-05</v>
      </c>
      <c r="V57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57" s="66" t="s">
        <v>1989</v>
      </c>
      <c r="X57" s="104" t="n">
        <f aca="false">IF(ISNUMBER(FIND("上限",S57)),1,0)</f>
        <v>0</v>
      </c>
      <c r="Y57" s="104" t="n">
        <v>0</v>
      </c>
    </row>
    <row r="58" customFormat="false" ht="15" hidden="false" customHeight="true" outlineLevel="0" collapsed="false">
      <c r="A58" s="36" t="s">
        <v>1990</v>
      </c>
      <c r="B58" s="36" t="s">
        <v>79</v>
      </c>
      <c r="C58" s="179" t="n">
        <f aca="false">INDEX(Training!$C$77:$Q$77,3*(Unit_Cost!C$6-1)+1)</f>
        <v>0.0761956076461837</v>
      </c>
      <c r="D58" s="179" t="n">
        <f aca="false">INDEX(Training!$C$77:$Q$77,3*(Unit_Cost!D$6-1)+1)</f>
        <v>0.0761956076461837</v>
      </c>
      <c r="E58" s="179" t="n">
        <f aca="false">INDEX(Training!$C$77:$Q$77,3*(Unit_Cost!E$6-1)+1)</f>
        <v>0.0761956076461837</v>
      </c>
      <c r="F58" s="179" t="n">
        <f aca="false">INDEX(Training!$C$77:$Q$77,3*(Unit_Cost!F$6-1)+1)</f>
        <v>0.0901475818714053</v>
      </c>
      <c r="G58" s="179" t="n">
        <f aca="false">INDEX(Training!$C$77:$Q$77,3*(Unit_Cost!G$6-1)+1)</f>
        <v>0.0901475818714053</v>
      </c>
      <c r="H58" s="179" t="n">
        <f aca="false">INDEX(Training!$C$77:$Q$77,3*(Unit_Cost!H$6-1)+1)</f>
        <v>0.0901475818714053</v>
      </c>
      <c r="I58" s="179" t="n">
        <f aca="false">INDEX(Training!$C$77:$Q$77,3*(Unit_Cost!I$6-1)+1)</f>
        <v>0.106320482312473</v>
      </c>
      <c r="J58" s="179" t="n">
        <f aca="false">INDEX(Training!$C$77:$Q$77,3*(Unit_Cost!J$6-1)+1)</f>
        <v>0.106320482312473</v>
      </c>
      <c r="K58" s="179" t="n">
        <f aca="false">INDEX(Training!$C$77:$Q$77,3*(Unit_Cost!K$6-1)+1)</f>
        <v>0.106320482312473</v>
      </c>
      <c r="L58" s="179" t="n">
        <f aca="false">INDEX(Training!$C$77:$Q$77,3*(Unit_Cost!L$6-1)+1)</f>
        <v>0.0746224482738129</v>
      </c>
      <c r="M58" s="179" t="n">
        <f aca="false">INDEX(Training!$C$77:$Q$77,3*(Unit_Cost!M$6-1)+1)</f>
        <v>0.0746224482738129</v>
      </c>
      <c r="N58" s="179" t="n">
        <f aca="false">INDEX(Training!$C$77:$Q$77,3*(Unit_Cost!N$6-1)+1)</f>
        <v>0.0746224482738129</v>
      </c>
      <c r="O58" s="179" t="n">
        <f aca="false">INDEX(Training!$C$77:$Q$77,3*(Unit_Cost!O$6-1)+1)</f>
        <v>0.0853336117258793</v>
      </c>
      <c r="P58" s="179" t="n">
        <f aca="false">INDEX(Training!$C$77:$Q$77,3*(Unit_Cost!P$6-1)+1)</f>
        <v>0.0853336117258793</v>
      </c>
      <c r="Q58" s="179" t="n">
        <f aca="false">INDEX(Training!$C$77:$Q$77,3*(Unit_Cost!Q$6-1)+1)</f>
        <v>0.0853336117258793</v>
      </c>
      <c r="R58" s="8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58" s="53" t="str">
        <f aca="false">IF(R58="—","—",IF(R58="A","基準輸入",IF(R58="B","情境、相對比較、反轉門檻","探索")))</f>
        <v>情境、相對比較、反轉門檻</v>
      </c>
      <c r="T58" s="54" t="s">
        <v>587</v>
      </c>
      <c r="U58" s="53" t="str">
        <f aca="false">IF(V58=0,"—",LEFT(TEXT(V58,"0"),4)&amp;"-"&amp;MID(TEXT(V58,"0"),5,2)&amp;"-"&amp;RIGHT(TEXT(V58,"0"),2))</f>
        <v>2026-10-05</v>
      </c>
      <c r="V58" s="82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58" s="66" t="s">
        <v>1991</v>
      </c>
      <c r="X58" s="104" t="n">
        <f aca="false">IF(ISNUMBER(FIND("上限",S58)),1,0)</f>
        <v>0</v>
      </c>
      <c r="Y58" s="104" t="n">
        <v>0</v>
      </c>
    </row>
    <row r="59" customFormat="false" ht="15" hidden="false" customHeight="true" outlineLevel="0" collapsed="false">
      <c r="A59" s="35" t="s">
        <v>1992</v>
      </c>
      <c r="B59" s="36" t="s">
        <v>988</v>
      </c>
      <c r="C59" s="174" t="n">
        <f aca="false">INDEX(Training!$C$120:$Q$120,3*(Unit_Cost!C$6-1)+1)</f>
        <v>51153350.9495753</v>
      </c>
      <c r="D59" s="174" t="n">
        <f aca="false">INDEX(Training!$C$120:$Q$120,3*(Unit_Cost!D$6-1)+1)</f>
        <v>51153350.9495753</v>
      </c>
      <c r="E59" s="174" t="n">
        <f aca="false">INDEX(Training!$C$120:$Q$120,3*(Unit_Cost!E$6-1)+1)</f>
        <v>51153350.9495753</v>
      </c>
      <c r="F59" s="174" t="n">
        <f aca="false">INDEX(Training!$C$120:$Q$120,3*(Unit_Cost!F$6-1)+1)</f>
        <v>16638241.355328</v>
      </c>
      <c r="G59" s="174" t="n">
        <f aca="false">INDEX(Training!$C$120:$Q$120,3*(Unit_Cost!G$6-1)+1)</f>
        <v>16638241.355328</v>
      </c>
      <c r="H59" s="174" t="n">
        <f aca="false">INDEX(Training!$C$120:$Q$120,3*(Unit_Cost!H$6-1)+1)</f>
        <v>16638241.355328</v>
      </c>
      <c r="I59" s="174" t="n">
        <f aca="false">INDEX(Training!$C$120:$Q$120,3*(Unit_Cost!I$6-1)+1)</f>
        <v>14201999.5820546</v>
      </c>
      <c r="J59" s="174" t="n">
        <f aca="false">INDEX(Training!$C$120:$Q$120,3*(Unit_Cost!J$6-1)+1)</f>
        <v>14201999.5820546</v>
      </c>
      <c r="K59" s="174" t="n">
        <f aca="false">INDEX(Training!$C$120:$Q$120,3*(Unit_Cost!K$6-1)+1)</f>
        <v>14201999.5820546</v>
      </c>
      <c r="L59" s="174" t="n">
        <f aca="false">INDEX(Training!$C$120:$Q$120,3*(Unit_Cost!L$6-1)+1)</f>
        <v>5633581.19099958</v>
      </c>
      <c r="M59" s="174" t="n">
        <f aca="false">INDEX(Training!$C$120:$Q$120,3*(Unit_Cost!M$6-1)+1)</f>
        <v>5633581.19099958</v>
      </c>
      <c r="N59" s="174" t="n">
        <f aca="false">INDEX(Training!$C$120:$Q$120,3*(Unit_Cost!N$6-1)+1)</f>
        <v>5633581.19099958</v>
      </c>
      <c r="O59" s="174" t="n">
        <f aca="false">INDEX(Training!$C$120:$Q$120,3*(Unit_Cost!O$6-1)+1)</f>
        <v>2440484.79695685</v>
      </c>
      <c r="P59" s="174" t="n">
        <f aca="false">INDEX(Training!$C$120:$Q$120,3*(Unit_Cost!P$6-1)+1)</f>
        <v>2440484.79695685</v>
      </c>
      <c r="Q59" s="174" t="n">
        <f aca="false">INDEX(Training!$C$120:$Q$120,3*(Unit_Cost!Q$6-1)+1)</f>
        <v>2440484.79695685</v>
      </c>
      <c r="R59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59" s="53" t="str">
        <f aca="false">IF(R59="—","—",IF(R59="A","基準輸入",IF(R59="B","情境、相對比較、反轉門檻","探索")))</f>
        <v>情境、相對比較、反轉門檻</v>
      </c>
      <c r="T59" s="54" t="s">
        <v>587</v>
      </c>
      <c r="U59" s="53" t="str">
        <f aca="false">IF(V59=0,"—",LEFT(TEXT(V59,"0"),4)&amp;"-"&amp;MID(TEXT(V59,"0"),5,2)&amp;"-"&amp;RIGHT(TEXT(V59,"0"),2))</f>
        <v>2026-10-05</v>
      </c>
      <c r="V59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59" s="66" t="s">
        <v>1993</v>
      </c>
      <c r="X59" s="104" t="n">
        <f aca="false">IF(ISNUMBER(FIND("上限",S59)),1,0)</f>
        <v>0</v>
      </c>
      <c r="Y59" s="104" t="n">
        <v>0</v>
      </c>
    </row>
    <row r="60" customFormat="false" ht="15" hidden="false" customHeight="true" outlineLevel="0" collapsed="false">
      <c r="A60" s="35" t="s">
        <v>1900</v>
      </c>
      <c r="B60" s="36" t="s">
        <v>844</v>
      </c>
      <c r="C60" s="174" t="n">
        <f aca="false">INDEX(Training!$C$120:$Q$120,3*(Unit_Cost!C$6-1)+1)*Unit_Cost!C$8/1000000</f>
        <v>56.9268604304064</v>
      </c>
      <c r="D60" s="174" t="n">
        <f aca="false">INDEX(Training!$C$120:$Q$120,3*(Unit_Cost!D$6-1)+1)*Unit_Cost!D$8/1000000</f>
        <v>82.1026248355149</v>
      </c>
      <c r="E60" s="174" t="n">
        <f aca="false">INDEX(Training!$C$120:$Q$120,3*(Unit_Cost!E$6-1)+1)*Unit_Cost!E$8/1000000</f>
        <v>141.551601667341</v>
      </c>
      <c r="F60" s="174" t="n">
        <f aca="false">INDEX(Training!$C$120:$Q$120,3*(Unit_Cost!F$6-1)+1)*Unit_Cost!F$8/1000000</f>
        <v>25.7898837116518</v>
      </c>
      <c r="G60" s="174" t="n">
        <f aca="false">INDEX(Training!$C$120:$Q$120,3*(Unit_Cost!G$6-1)+1)*Unit_Cost!G$8/1000000</f>
        <v>34.7149216909262</v>
      </c>
      <c r="H60" s="174" t="n">
        <f aca="false">INDEX(Training!$C$120:$Q$120,3*(Unit_Cost!H$6-1)+1)*Unit_Cost!H$8/1000000</f>
        <v>56.4767902251543</v>
      </c>
      <c r="I60" s="174" t="n">
        <f aca="false">INDEX(Training!$C$120:$Q$120,3*(Unit_Cost!I$6-1)+1)*Unit_Cost!I$8/1000000</f>
        <v>28.9868697383642</v>
      </c>
      <c r="J60" s="174" t="n">
        <f aca="false">INDEX(Training!$C$120:$Q$120,3*(Unit_Cost!J$6-1)+1)*Unit_Cost!J$8/1000000</f>
        <v>42.3602415833066</v>
      </c>
      <c r="K60" s="174" t="n">
        <f aca="false">INDEX(Training!$C$120:$Q$120,3*(Unit_Cost!K$6-1)+1)*Unit_Cost!K$8/1000000</f>
        <v>79.4686294334665</v>
      </c>
      <c r="L60" s="174" t="n">
        <f aca="false">INDEX(Training!$C$120:$Q$120,3*(Unit_Cost!L$6-1)+1)*Unit_Cost!L$8/1000000</f>
        <v>21.6833853771364</v>
      </c>
      <c r="M60" s="174" t="n">
        <f aca="false">INDEX(Training!$C$120:$Q$120,3*(Unit_Cost!M$6-1)+1)*Unit_Cost!M$8/1000000</f>
        <v>28.1318177760473</v>
      </c>
      <c r="N60" s="174" t="n">
        <f aca="false">INDEX(Training!$C$120:$Q$120,3*(Unit_Cost!N$6-1)+1)*Unit_Cost!N$8/1000000</f>
        <v>45.5815330243681</v>
      </c>
      <c r="O60" s="174" t="n">
        <f aca="false">INDEX(Training!$C$120:$Q$120,3*(Unit_Cost!O$6-1)+1)*Unit_Cost!O$8/1000000</f>
        <v>14.9513936025791</v>
      </c>
      <c r="P60" s="174" t="n">
        <f aca="false">INDEX(Training!$C$120:$Q$120,3*(Unit_Cost!P$6-1)+1)*Unit_Cost!P$8/1000000</f>
        <v>22.9865306132698</v>
      </c>
      <c r="Q60" s="174" t="n">
        <f aca="false">INDEX(Training!$C$120:$Q$120,3*(Unit_Cost!Q$6-1)+1)*Unit_Cost!Q$8/1000000</f>
        <v>42.1333106919549</v>
      </c>
      <c r="R60" s="8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0" s="53" t="str">
        <f aca="false">IF(R60="—","—",IF(R60="A","基準輸入",IF(R60="B","情境、相對比較、反轉門檻","探索")))</f>
        <v>情境、相對比較、反轉門檻</v>
      </c>
      <c r="T60" s="54" t="s">
        <v>587</v>
      </c>
      <c r="U60" s="53" t="str">
        <f aca="false">IF(V60=0,"—",LEFT(TEXT(V60,"0"),4)&amp;"-"&amp;MID(TEXT(V60,"0"),5,2)&amp;"-"&amp;RIGHT(TEXT(V60,"0"),2))</f>
        <v>2026-10-05</v>
      </c>
      <c r="V60" s="8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0" s="66" t="s">
        <v>1994</v>
      </c>
      <c r="X60" s="104" t="n">
        <f aca="false">IF(ISNUMBER(FIND("上限",S60)),1,0)</f>
        <v>0</v>
      </c>
      <c r="Y60" s="104" t="n">
        <v>0</v>
      </c>
    </row>
    <row r="61" customFormat="false" ht="15" hidden="false" customHeight="true" outlineLevel="0" collapsed="false">
      <c r="A61" s="35" t="s">
        <v>1995</v>
      </c>
      <c r="B61" s="36" t="s">
        <v>79</v>
      </c>
      <c r="C61" s="181" t="n">
        <f aca="false">INDEX(Training!$C$123:$Q$123,3*(Unit_Cost!C$6-1)+1)</f>
        <v>0.00813235831640886</v>
      </c>
      <c r="D61" s="181" t="n">
        <f aca="false">INDEX(Training!$C$123:$Q$123,3*(Unit_Cost!D$6-1)+1)</f>
        <v>0.00813235831640886</v>
      </c>
      <c r="E61" s="181" t="n">
        <f aca="false">INDEX(Training!$C$123:$Q$123,3*(Unit_Cost!E$6-1)+1)</f>
        <v>0.00813235831640886</v>
      </c>
      <c r="F61" s="181" t="n">
        <f aca="false">INDEX(Training!$C$123:$Q$123,3*(Unit_Cost!F$6-1)+1)</f>
        <v>0.00378530041866208</v>
      </c>
      <c r="G61" s="181" t="n">
        <f aca="false">INDEX(Training!$C$123:$Q$123,3*(Unit_Cost!G$6-1)+1)</f>
        <v>0.00378530041866208</v>
      </c>
      <c r="H61" s="181" t="n">
        <f aca="false">INDEX(Training!$C$123:$Q$123,3*(Unit_Cost!H$6-1)+1)</f>
        <v>0.00378530041866208</v>
      </c>
      <c r="I61" s="181" t="n">
        <f aca="false">INDEX(Training!$C$123:$Q$123,3*(Unit_Cost!I$6-1)+1)</f>
        <v>0.00332896549749013</v>
      </c>
      <c r="J61" s="181" t="n">
        <f aca="false">INDEX(Training!$C$123:$Q$123,3*(Unit_Cost!J$6-1)+1)</f>
        <v>0.00332896549749013</v>
      </c>
      <c r="K61" s="181" t="n">
        <f aca="false">INDEX(Training!$C$123:$Q$123,3*(Unit_Cost!K$6-1)+1)</f>
        <v>0.00332896549749013</v>
      </c>
      <c r="L61" s="181" t="n">
        <f aca="false">INDEX(Training!$C$123:$Q$123,3*(Unit_Cost!L$6-1)+1)</f>
        <v>0.00220433968028437</v>
      </c>
      <c r="M61" s="181" t="n">
        <f aca="false">INDEX(Training!$C$123:$Q$123,3*(Unit_Cost!M$6-1)+1)</f>
        <v>0.00220433968028437</v>
      </c>
      <c r="N61" s="181" t="n">
        <f aca="false">INDEX(Training!$C$123:$Q$123,3*(Unit_Cost!N$6-1)+1)</f>
        <v>0.00220433968028437</v>
      </c>
      <c r="O61" s="181" t="n">
        <f aca="false">INDEX(Training!$C$123:$Q$123,3*(Unit_Cost!O$6-1)+1)</f>
        <v>0.00143044852589726</v>
      </c>
      <c r="P61" s="181" t="n">
        <f aca="false">INDEX(Training!$C$123:$Q$123,3*(Unit_Cost!P$6-1)+1)</f>
        <v>0.00143044852589726</v>
      </c>
      <c r="Q61" s="181" t="n">
        <f aca="false">INDEX(Training!$C$123:$Q$123,3*(Unit_Cost!Q$6-1)+1)</f>
        <v>0.00143044852589726</v>
      </c>
      <c r="R61" s="8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1" s="53" t="str">
        <f aca="false">IF(R61="—","—",IF(R61="A","基準輸入",IF(R61="B","情境、相對比較、反轉門檻","探索")))</f>
        <v>情境、相對比較、反轉門檻</v>
      </c>
      <c r="T61" s="54" t="s">
        <v>587</v>
      </c>
      <c r="U61" s="53" t="str">
        <f aca="false">IF(V61=0,"—",LEFT(TEXT(V61,"0"),4)&amp;"-"&amp;MID(TEXT(V61,"0"),5,2)&amp;"-"&amp;RIGHT(TEXT(V61,"0"),2))</f>
        <v>2026-10-05</v>
      </c>
      <c r="V61" s="8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1" s="66" t="s">
        <v>1996</v>
      </c>
      <c r="X61" s="104" t="n">
        <f aca="false">IF(ISNUMBER(FIND("上限",S61)),1,0)</f>
        <v>0</v>
      </c>
      <c r="Y61" s="104" t="n">
        <v>0</v>
      </c>
    </row>
    <row r="62" customFormat="false" ht="15" hidden="false" customHeight="true" outlineLevel="0" collapsed="false">
      <c r="A62" s="8" t="s">
        <v>228</v>
      </c>
    </row>
    <row r="63" customFormat="false" ht="15" hidden="false" customHeight="true" outlineLevel="0" collapsed="false">
      <c r="A63" s="35" t="s">
        <v>1997</v>
      </c>
      <c r="B63" s="36" t="s">
        <v>988</v>
      </c>
      <c r="C63" s="41" t="n">
        <f aca="false">INDEX(Training!$C$106:$Q$106,3*(Unit_Cost!C$6-1)+2)</f>
        <v>18199062.8050043</v>
      </c>
      <c r="D63" s="41" t="n">
        <f aca="false">INDEX(Training!$C$106:$Q$106,3*(Unit_Cost!D$6-1)+2)</f>
        <v>18199062.8050043</v>
      </c>
      <c r="E63" s="41" t="n">
        <f aca="false">INDEX(Training!$C$106:$Q$106,3*(Unit_Cost!E$6-1)+2)</f>
        <v>18199062.8050043</v>
      </c>
      <c r="F63" s="41" t="n">
        <f aca="false">INDEX(Training!$C$106:$Q$106,3*(Unit_Cost!F$6-1)+2)</f>
        <v>6152335.11648947</v>
      </c>
      <c r="G63" s="41" t="n">
        <f aca="false">INDEX(Training!$C$106:$Q$106,3*(Unit_Cost!G$6-1)+2)</f>
        <v>6152335.11648947</v>
      </c>
      <c r="H63" s="41" t="n">
        <f aca="false">INDEX(Training!$C$106:$Q$106,3*(Unit_Cost!H$6-1)+2)</f>
        <v>6152335.11648947</v>
      </c>
      <c r="I63" s="41" t="n">
        <f aca="false">INDEX(Training!$C$106:$Q$106,3*(Unit_Cost!I$6-1)+2)</f>
        <v>5453953.11066573</v>
      </c>
      <c r="J63" s="41" t="n">
        <f aca="false">INDEX(Training!$C$106:$Q$106,3*(Unit_Cost!J$6-1)+2)</f>
        <v>5453953.11066573</v>
      </c>
      <c r="K63" s="41" t="n">
        <f aca="false">INDEX(Training!$C$106:$Q$106,3*(Unit_Cost!K$6-1)+2)</f>
        <v>5453953.11066573</v>
      </c>
      <c r="L63" s="41" t="n">
        <f aca="false">INDEX(Training!$C$106:$Q$106,3*(Unit_Cost!L$6-1)+2)</f>
        <v>2051289.25958755</v>
      </c>
      <c r="M63" s="41" t="n">
        <f aca="false">INDEX(Training!$C$106:$Q$106,3*(Unit_Cost!M$6-1)+2)</f>
        <v>2051289.25958755</v>
      </c>
      <c r="N63" s="41" t="n">
        <f aca="false">INDEX(Training!$C$106:$Q$106,3*(Unit_Cost!N$6-1)+2)</f>
        <v>2051289.25958755</v>
      </c>
      <c r="O63" s="41" t="n">
        <f aca="false">INDEX(Training!$C$106:$Q$106,3*(Unit_Cost!O$6-1)+2)</f>
        <v>919050.37142924</v>
      </c>
      <c r="P63" s="41" t="n">
        <f aca="false">INDEX(Training!$C$106:$Q$106,3*(Unit_Cost!P$6-1)+2)</f>
        <v>919050.37142924</v>
      </c>
      <c r="Q63" s="41" t="n">
        <f aca="false">INDEX(Training!$C$106:$Q$106,3*(Unit_Cost!Q$6-1)+2)</f>
        <v>919050.37142924</v>
      </c>
      <c r="R63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3" s="53" t="str">
        <f aca="false">IF(R63="—","—",IF(R63="A","基準輸入",IF(R63="B","情境、相對比較、反轉門檻","探索")))</f>
        <v>情境、相對比較、反轉門檻</v>
      </c>
      <c r="T63" s="54" t="s">
        <v>587</v>
      </c>
      <c r="U63" s="53" t="str">
        <f aca="false">IF(V63=0,"—",LEFT(TEXT(V63,"0"),4)&amp;"-"&amp;MID(TEXT(V63,"0"),5,2)&amp;"-"&amp;RIGHT(TEXT(V63,"0"),2))</f>
        <v>2026-10-05</v>
      </c>
      <c r="V63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3" s="66" t="s">
        <v>1983</v>
      </c>
      <c r="X63" s="104" t="n">
        <f aca="false">IF(ISNUMBER(FIND("上限",S63)),1,0)</f>
        <v>0</v>
      </c>
      <c r="Y63" s="104" t="n">
        <v>0</v>
      </c>
    </row>
    <row r="64" customFormat="false" ht="15" hidden="false" customHeight="true" outlineLevel="0" collapsed="false">
      <c r="A64" s="35" t="s">
        <v>1998</v>
      </c>
      <c r="B64" s="36" t="s">
        <v>844</v>
      </c>
      <c r="C64" s="178" t="n">
        <f aca="false">INDEX(Training!$C$106:$Q$106,3*(Unit_Cost!C$6-1)+2)*Unit_Cost!C$8/1000000</f>
        <v>20.2531308122109</v>
      </c>
      <c r="D64" s="178" t="n">
        <f aca="false">INDEX(Training!$C$106:$Q$106,3*(Unit_Cost!D$6-1)+2)*Unit_Cost!D$8/1000000</f>
        <v>29.2100282405771</v>
      </c>
      <c r="E64" s="178" t="n">
        <f aca="false">INDEX(Training!$C$106:$Q$106,3*(Unit_Cost!E$6-1)+2)*Unit_Cost!E$8/1000000</f>
        <v>50.3604639983862</v>
      </c>
      <c r="F64" s="178" t="n">
        <f aca="false">INDEX(Training!$C$106:$Q$106,3*(Unit_Cost!F$6-1)+2)*Unit_Cost!F$8/1000000</f>
        <v>9.53634484684077</v>
      </c>
      <c r="G64" s="178" t="n">
        <f aca="false">INDEX(Training!$C$106:$Q$106,3*(Unit_Cost!G$6-1)+2)*Unit_Cost!G$8/1000000</f>
        <v>12.8365629049415</v>
      </c>
      <c r="H64" s="178" t="n">
        <f aca="false">INDEX(Training!$C$106:$Q$106,3*(Unit_Cost!H$6-1)+2)*Unit_Cost!H$8/1000000</f>
        <v>20.8834655266952</v>
      </c>
      <c r="I64" s="178" t="n">
        <f aca="false">INDEX(Training!$C$106:$Q$106,3*(Unit_Cost!I$6-1)+2)*Unit_Cost!I$8/1000000</f>
        <v>11.13174433393</v>
      </c>
      <c r="J64" s="178" t="n">
        <f aca="false">INDEX(Training!$C$106:$Q$106,3*(Unit_Cost!J$6-1)+2)*Unit_Cost!J$8/1000000</f>
        <v>16.2674819145715</v>
      </c>
      <c r="K64" s="178" t="n">
        <f aca="false">INDEX(Training!$C$106:$Q$106,3*(Unit_Cost!K$6-1)+2)*Unit_Cost!K$8/1000000</f>
        <v>30.5181095235811</v>
      </c>
      <c r="L64" s="178" t="n">
        <f aca="false">INDEX(Training!$C$106:$Q$106,3*(Unit_Cost!L$6-1)+2)*Unit_Cost!L$8/1000000</f>
        <v>7.89531454817388</v>
      </c>
      <c r="M64" s="178" t="n">
        <f aca="false">INDEX(Training!$C$106:$Q$106,3*(Unit_Cost!M$6-1)+2)*Unit_Cost!M$8/1000000</f>
        <v>10.2433059363508</v>
      </c>
      <c r="N64" s="178" t="n">
        <f aca="false">INDEX(Training!$C$106:$Q$106,3*(Unit_Cost!N$6-1)+2)*Unit_Cost!N$8/1000000</f>
        <v>16.5970642755273</v>
      </c>
      <c r="O64" s="178" t="n">
        <f aca="false">INDEX(Training!$C$106:$Q$106,3*(Unit_Cost!O$6-1)+2)*Unit_Cost!O$8/1000000</f>
        <v>5.63047303591872</v>
      </c>
      <c r="P64" s="178" t="n">
        <f aca="false">INDEX(Training!$C$106:$Q$106,3*(Unit_Cost!P$6-1)+2)*Unit_Cost!P$8/1000000</f>
        <v>8.65638643778396</v>
      </c>
      <c r="Q64" s="178" t="n">
        <f aca="false">INDEX(Training!$C$106:$Q$106,3*(Unit_Cost!Q$6-1)+2)*Unit_Cost!Q$8/1000000</f>
        <v>15.8667797846025</v>
      </c>
      <c r="R64" s="8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64" s="53" t="str">
        <f aca="false">IF(R64="—","—",IF(R64="A","基準輸入",IF(R64="B","情境、相對比較、反轉門檻","探索")))</f>
        <v>情境、相對比較、反轉門檻</v>
      </c>
      <c r="T64" s="54" t="s">
        <v>587</v>
      </c>
      <c r="U64" s="53" t="str">
        <f aca="false">IF(V64=0,"—",LEFT(TEXT(V64,"0"),4)&amp;"-"&amp;MID(TEXT(V64,"0"),5,2)&amp;"-"&amp;RIGHT(TEXT(V64,"0"),2))</f>
        <v>2026-10-05</v>
      </c>
      <c r="V64" s="8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64" s="66" t="s">
        <v>1985</v>
      </c>
      <c r="X64" s="104" t="n">
        <f aca="false">IF(ISNUMBER(FIND("上限",S64)),1,0)</f>
        <v>0</v>
      </c>
      <c r="Y64" s="104" t="n">
        <v>0</v>
      </c>
    </row>
    <row r="65" customFormat="false" ht="15" hidden="false" customHeight="true" outlineLevel="0" collapsed="false">
      <c r="A65" s="35" t="s">
        <v>1999</v>
      </c>
      <c r="B65" s="36" t="s">
        <v>79</v>
      </c>
      <c r="C65" s="179" t="n">
        <f aca="false">INDEX(Training!$C$110:$Q$110,3*(Unit_Cost!C$6-1)+2)</f>
        <v>0.127029214627552</v>
      </c>
      <c r="D65" s="179" t="n">
        <f aca="false">INDEX(Training!$C$110:$Q$110,3*(Unit_Cost!D$6-1)+2)</f>
        <v>0.127029214627552</v>
      </c>
      <c r="E65" s="179" t="n">
        <f aca="false">INDEX(Training!$C$110:$Q$110,3*(Unit_Cost!E$6-1)+2)</f>
        <v>0.127029214627552</v>
      </c>
      <c r="F65" s="179" t="n">
        <f aca="false">INDEX(Training!$C$110:$Q$110,3*(Unit_Cost!F$6-1)+2)</f>
        <v>0.127029214627552</v>
      </c>
      <c r="G65" s="179" t="n">
        <f aca="false">INDEX(Training!$C$110:$Q$110,3*(Unit_Cost!G$6-1)+2)</f>
        <v>0.127029214627552</v>
      </c>
      <c r="H65" s="179" t="n">
        <f aca="false">INDEX(Training!$C$110:$Q$110,3*(Unit_Cost!H$6-1)+2)</f>
        <v>0.127029214627552</v>
      </c>
      <c r="I65" s="179" t="n">
        <f aca="false">INDEX(Training!$C$110:$Q$110,3*(Unit_Cost!I$6-1)+2)</f>
        <v>0.127029214627552</v>
      </c>
      <c r="J65" s="179" t="n">
        <f aca="false">INDEX(Training!$C$110:$Q$110,3*(Unit_Cost!J$6-1)+2)</f>
        <v>0.127029214627552</v>
      </c>
      <c r="K65" s="179" t="n">
        <f aca="false">INDEX(Training!$C$110:$Q$110,3*(Unit_Cost!K$6-1)+2)</f>
        <v>0.127029214627552</v>
      </c>
      <c r="L65" s="179" t="n">
        <f aca="false">INDEX(Training!$C$110:$Q$110,3*(Unit_Cost!L$6-1)+2)</f>
        <v>0.127029214627552</v>
      </c>
      <c r="M65" s="179" t="n">
        <f aca="false">INDEX(Training!$C$110:$Q$110,3*(Unit_Cost!M$6-1)+2)</f>
        <v>0.127029214627552</v>
      </c>
      <c r="N65" s="179" t="n">
        <f aca="false">INDEX(Training!$C$110:$Q$110,3*(Unit_Cost!N$6-1)+2)</f>
        <v>0.127029214627552</v>
      </c>
      <c r="O65" s="179" t="n">
        <f aca="false">INDEX(Training!$C$110:$Q$110,3*(Unit_Cost!O$6-1)+2)</f>
        <v>0.127029214627552</v>
      </c>
      <c r="P65" s="179" t="n">
        <f aca="false">INDEX(Training!$C$110:$Q$110,3*(Unit_Cost!P$6-1)+2)</f>
        <v>0.127029214627552</v>
      </c>
      <c r="Q65" s="179" t="n">
        <f aca="false">INDEX(Training!$C$110:$Q$110,3*(Unit_Cost!Q$6-1)+2)</f>
        <v>0.127029214627552</v>
      </c>
      <c r="R65" s="8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65" s="53" t="str">
        <f aca="false">IF(R65="—","—",IF(R65="A","基準輸入",IF(R65="B","情境、相對比較、反轉門檻","探索")))</f>
        <v>情境、相對比較、反轉門檻</v>
      </c>
      <c r="T65" s="54" t="s">
        <v>587</v>
      </c>
      <c r="U65" s="53" t="str">
        <f aca="false">IF(V65=0,"—",LEFT(TEXT(V65,"0"),4)&amp;"-"&amp;MID(TEXT(V65,"0"),5,2)&amp;"-"&amp;RIGHT(TEXT(V65,"0"),2))</f>
        <v>2026-10-05</v>
      </c>
      <c r="V65" s="8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65" s="66" t="s">
        <v>1987</v>
      </c>
      <c r="X65" s="104" t="n">
        <f aca="false">IF(ISNUMBER(FIND("上限",S65)),1,0)</f>
        <v>0</v>
      </c>
      <c r="Y65" s="104" t="n">
        <v>0</v>
      </c>
    </row>
    <row r="66" customFormat="false" ht="15" hidden="false" customHeight="true" outlineLevel="0" collapsed="false">
      <c r="A66" s="35" t="s">
        <v>2000</v>
      </c>
      <c r="B66" s="36" t="s">
        <v>79</v>
      </c>
      <c r="C66" s="180" t="n">
        <f aca="false">INDEX(Training!$C$111:$Q$111,3*(Unit_Cost!C$6-1)+2)</f>
        <v>0.309968546647496</v>
      </c>
      <c r="D66" s="180" t="n">
        <f aca="false">INDEX(Training!$C$111:$Q$111,3*(Unit_Cost!D$6-1)+2)</f>
        <v>0.309968546647496</v>
      </c>
      <c r="E66" s="180" t="n">
        <f aca="false">INDEX(Training!$C$111:$Q$111,3*(Unit_Cost!E$6-1)+2)</f>
        <v>0.309968546647496</v>
      </c>
      <c r="F66" s="180" t="n">
        <f aca="false">INDEX(Training!$C$111:$Q$111,3*(Unit_Cost!F$6-1)+2)</f>
        <v>0.267986465704979</v>
      </c>
      <c r="G66" s="180" t="n">
        <f aca="false">INDEX(Training!$C$111:$Q$111,3*(Unit_Cost!G$6-1)+2)</f>
        <v>0.267986465704979</v>
      </c>
      <c r="H66" s="180" t="n">
        <f aca="false">INDEX(Training!$C$111:$Q$111,3*(Unit_Cost!H$6-1)+2)</f>
        <v>0.267986465704979</v>
      </c>
      <c r="I66" s="180" t="n">
        <f aca="false">INDEX(Training!$C$111:$Q$111,3*(Unit_Cost!I$6-1)+2)</f>
        <v>0.235738956226448</v>
      </c>
      <c r="J66" s="180" t="n">
        <f aca="false">INDEX(Training!$C$111:$Q$111,3*(Unit_Cost!J$6-1)+2)</f>
        <v>0.235738956226448</v>
      </c>
      <c r="K66" s="180" t="n">
        <f aca="false">INDEX(Training!$C$111:$Q$111,3*(Unit_Cost!K$6-1)+2)</f>
        <v>0.235738956226448</v>
      </c>
      <c r="L66" s="180" t="n">
        <f aca="false">INDEX(Training!$C$111:$Q$111,3*(Unit_Cost!L$6-1)+2)</f>
        <v>0.282310936548276</v>
      </c>
      <c r="M66" s="180" t="n">
        <f aca="false">INDEX(Training!$C$111:$Q$111,3*(Unit_Cost!M$6-1)+2)</f>
        <v>0.282310936548276</v>
      </c>
      <c r="N66" s="180" t="n">
        <f aca="false">INDEX(Training!$C$111:$Q$111,3*(Unit_Cost!N$6-1)+2)</f>
        <v>0.282310936548276</v>
      </c>
      <c r="O66" s="180" t="n">
        <f aca="false">INDEX(Training!$C$111:$Q$111,3*(Unit_Cost!O$6-1)+2)</f>
        <v>0.254949018157508</v>
      </c>
      <c r="P66" s="180" t="n">
        <f aca="false">INDEX(Training!$C$111:$Q$111,3*(Unit_Cost!P$6-1)+2)</f>
        <v>0.254949018157508</v>
      </c>
      <c r="Q66" s="180" t="n">
        <f aca="false">INDEX(Training!$C$111:$Q$111,3*(Unit_Cost!Q$6-1)+2)</f>
        <v>0.254949018157508</v>
      </c>
      <c r="R66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66" s="53" t="str">
        <f aca="false">IF(R66="—","—",IF(R66="A","基準輸入",IF(R66="B","情境、相對比較、反轉門檻","探索")))</f>
        <v>情境、相對比較、反轉門檻</v>
      </c>
      <c r="T66" s="54" t="s">
        <v>587</v>
      </c>
      <c r="U66" s="53" t="str">
        <f aca="false">IF(V66=0,"—",LEFT(TEXT(V66,"0"),4)&amp;"-"&amp;MID(TEXT(V66,"0"),5,2)&amp;"-"&amp;RIGHT(TEXT(V66,"0"),2))</f>
        <v>2026-10-05</v>
      </c>
      <c r="V66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66" s="66" t="s">
        <v>1989</v>
      </c>
      <c r="X66" s="104" t="n">
        <f aca="false">IF(ISNUMBER(FIND("上限",S66)),1,0)</f>
        <v>0</v>
      </c>
      <c r="Y66" s="104" t="n">
        <v>0</v>
      </c>
    </row>
    <row r="67" customFormat="false" ht="15" hidden="false" customHeight="true" outlineLevel="0" collapsed="false">
      <c r="A67" s="36" t="s">
        <v>2001</v>
      </c>
      <c r="B67" s="36" t="s">
        <v>79</v>
      </c>
      <c r="C67" s="179" t="n">
        <f aca="false">INDEX(Training!$C$77:$Q$77,3*(Unit_Cost!C$6-1)+2)</f>
        <v>0.0716763337592282</v>
      </c>
      <c r="D67" s="179" t="n">
        <f aca="false">INDEX(Training!$C$77:$Q$77,3*(Unit_Cost!D$6-1)+2)</f>
        <v>0.0716763337592282</v>
      </c>
      <c r="E67" s="179" t="n">
        <f aca="false">INDEX(Training!$C$77:$Q$77,3*(Unit_Cost!E$6-1)+2)</f>
        <v>0.0716763337592282</v>
      </c>
      <c r="F67" s="179" t="n">
        <f aca="false">INDEX(Training!$C$77:$Q$77,3*(Unit_Cost!F$6-1)+2)</f>
        <v>0.0874404965486068</v>
      </c>
      <c r="G67" s="179" t="n">
        <f aca="false">INDEX(Training!$C$77:$Q$77,3*(Unit_Cost!G$6-1)+2)</f>
        <v>0.0874404965486068</v>
      </c>
      <c r="H67" s="179" t="n">
        <f aca="false">INDEX(Training!$C$77:$Q$77,3*(Unit_Cost!H$6-1)+2)</f>
        <v>0.0874404965486068</v>
      </c>
      <c r="I67" s="179" t="n">
        <f aca="false">INDEX(Training!$C$77:$Q$77,3*(Unit_Cost!I$6-1)+2)</f>
        <v>0.103815837007901</v>
      </c>
      <c r="J67" s="179" t="n">
        <f aca="false">INDEX(Training!$C$77:$Q$77,3*(Unit_Cost!J$6-1)+2)</f>
        <v>0.103815837007901</v>
      </c>
      <c r="K67" s="179" t="n">
        <f aca="false">INDEX(Training!$C$77:$Q$77,3*(Unit_Cost!K$6-1)+2)</f>
        <v>0.103815837007901</v>
      </c>
      <c r="L67" s="179" t="n">
        <f aca="false">INDEX(Training!$C$77:$Q$77,3*(Unit_Cost!L$6-1)+2)</f>
        <v>0.0731801304364245</v>
      </c>
      <c r="M67" s="179" t="n">
        <f aca="false">INDEX(Training!$C$77:$Q$77,3*(Unit_Cost!M$6-1)+2)</f>
        <v>0.0731801304364245</v>
      </c>
      <c r="N67" s="179" t="n">
        <f aca="false">INDEX(Training!$C$77:$Q$77,3*(Unit_Cost!N$6-1)+2)</f>
        <v>0.0731801304364245</v>
      </c>
      <c r="O67" s="179" t="n">
        <f aca="false">INDEX(Training!$C$77:$Q$77,3*(Unit_Cost!O$6-1)+2)</f>
        <v>0.0842149737466073</v>
      </c>
      <c r="P67" s="179" t="n">
        <f aca="false">INDEX(Training!$C$77:$Q$77,3*(Unit_Cost!P$6-1)+2)</f>
        <v>0.0842149737466073</v>
      </c>
      <c r="Q67" s="179" t="n">
        <f aca="false">INDEX(Training!$C$77:$Q$77,3*(Unit_Cost!Q$6-1)+2)</f>
        <v>0.0842149737466073</v>
      </c>
      <c r="R67" s="8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67" s="53" t="str">
        <f aca="false">IF(R67="—","—",IF(R67="A","基準輸入",IF(R67="B","情境、相對比較、反轉門檻","探索")))</f>
        <v>情境、相對比較、反轉門檻</v>
      </c>
      <c r="T67" s="54" t="s">
        <v>587</v>
      </c>
      <c r="U67" s="53" t="str">
        <f aca="false">IF(V67=0,"—",LEFT(TEXT(V67,"0"),4)&amp;"-"&amp;MID(TEXT(V67,"0"),5,2)&amp;"-"&amp;RIGHT(TEXT(V67,"0"),2))</f>
        <v>2026-10-05</v>
      </c>
      <c r="V67" s="82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67" s="66" t="s">
        <v>1991</v>
      </c>
      <c r="X67" s="104" t="n">
        <f aca="false">IF(ISNUMBER(FIND("上限",S67)),1,0)</f>
        <v>0</v>
      </c>
      <c r="Y67" s="104" t="n">
        <v>0</v>
      </c>
    </row>
    <row r="68" customFormat="false" ht="15" hidden="false" customHeight="true" outlineLevel="0" collapsed="false">
      <c r="A68" s="35" t="s">
        <v>2002</v>
      </c>
      <c r="B68" s="36" t="s">
        <v>988</v>
      </c>
      <c r="C68" s="174" t="n">
        <f aca="false">INDEX(Training!$C$120:$Q$120,3*(Unit_Cost!C$6-1)+2)</f>
        <v>145592502.440035</v>
      </c>
      <c r="D68" s="174" t="n">
        <f aca="false">INDEX(Training!$C$120:$Q$120,3*(Unit_Cost!D$6-1)+2)</f>
        <v>145592502.440035</v>
      </c>
      <c r="E68" s="174" t="n">
        <f aca="false">INDEX(Training!$C$120:$Q$120,3*(Unit_Cost!E$6-1)+2)</f>
        <v>145592502.440035</v>
      </c>
      <c r="F68" s="174" t="n">
        <f aca="false">INDEX(Training!$C$120:$Q$120,3*(Unit_Cost!F$6-1)+2)</f>
        <v>49218680.9319158</v>
      </c>
      <c r="G68" s="174" t="n">
        <f aca="false">INDEX(Training!$C$120:$Q$120,3*(Unit_Cost!G$6-1)+2)</f>
        <v>49218680.9319158</v>
      </c>
      <c r="H68" s="174" t="n">
        <f aca="false">INDEX(Training!$C$120:$Q$120,3*(Unit_Cost!H$6-1)+2)</f>
        <v>49218680.9319158</v>
      </c>
      <c r="I68" s="174" t="n">
        <f aca="false">INDEX(Training!$C$120:$Q$120,3*(Unit_Cost!I$6-1)+2)</f>
        <v>43631624.8853258</v>
      </c>
      <c r="J68" s="174" t="n">
        <f aca="false">INDEX(Training!$C$120:$Q$120,3*(Unit_Cost!J$6-1)+2)</f>
        <v>43631624.8853258</v>
      </c>
      <c r="K68" s="174" t="n">
        <f aca="false">INDEX(Training!$C$120:$Q$120,3*(Unit_Cost!K$6-1)+2)</f>
        <v>43631624.8853258</v>
      </c>
      <c r="L68" s="174" t="n">
        <f aca="false">INDEX(Training!$C$120:$Q$120,3*(Unit_Cost!L$6-1)+2)</f>
        <v>16410314.0767004</v>
      </c>
      <c r="M68" s="174" t="n">
        <f aca="false">INDEX(Training!$C$120:$Q$120,3*(Unit_Cost!M$6-1)+2)</f>
        <v>16410314.0767004</v>
      </c>
      <c r="N68" s="174" t="n">
        <f aca="false">INDEX(Training!$C$120:$Q$120,3*(Unit_Cost!N$6-1)+2)</f>
        <v>16410314.0767004</v>
      </c>
      <c r="O68" s="174" t="n">
        <f aca="false">INDEX(Training!$C$120:$Q$120,3*(Unit_Cost!O$6-1)+2)</f>
        <v>7352402.97143392</v>
      </c>
      <c r="P68" s="174" t="n">
        <f aca="false">INDEX(Training!$C$120:$Q$120,3*(Unit_Cost!P$6-1)+2)</f>
        <v>7352402.97143392</v>
      </c>
      <c r="Q68" s="174" t="n">
        <f aca="false">INDEX(Training!$C$120:$Q$120,3*(Unit_Cost!Q$6-1)+2)</f>
        <v>7352402.97143392</v>
      </c>
      <c r="R68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8" s="53" t="str">
        <f aca="false">IF(R68="—","—",IF(R68="A","基準輸入",IF(R68="B","情境、相對比較、反轉門檻","探索")))</f>
        <v>情境、相對比較、反轉門檻</v>
      </c>
      <c r="T68" s="54" t="s">
        <v>587</v>
      </c>
      <c r="U68" s="53" t="str">
        <f aca="false">IF(V68=0,"—",LEFT(TEXT(V68,"0"),4)&amp;"-"&amp;MID(TEXT(V68,"0"),5,2)&amp;"-"&amp;RIGHT(TEXT(V68,"0"),2))</f>
        <v>2026-10-05</v>
      </c>
      <c r="V68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8" s="66" t="s">
        <v>1993</v>
      </c>
      <c r="X68" s="104" t="n">
        <f aca="false">IF(ISNUMBER(FIND("上限",S68)),1,0)</f>
        <v>0</v>
      </c>
      <c r="Y68" s="104" t="n">
        <v>0</v>
      </c>
    </row>
    <row r="69" customFormat="false" ht="15" hidden="false" customHeight="true" outlineLevel="0" collapsed="false">
      <c r="A69" s="35" t="s">
        <v>1901</v>
      </c>
      <c r="B69" s="36" t="s">
        <v>844</v>
      </c>
      <c r="C69" s="174" t="n">
        <f aca="false">INDEX(Training!$C$120:$Q$120,3*(Unit_Cost!C$6-1)+2)*Unit_Cost!C$8/1000000</f>
        <v>162.025046497687</v>
      </c>
      <c r="D69" s="174" t="n">
        <f aca="false">INDEX(Training!$C$120:$Q$120,3*(Unit_Cost!D$6-1)+2)*Unit_Cost!D$8/1000000</f>
        <v>233.680225924616</v>
      </c>
      <c r="E69" s="174" t="n">
        <f aca="false">INDEX(Training!$C$120:$Q$120,3*(Unit_Cost!E$6-1)+2)*Unit_Cost!E$8/1000000</f>
        <v>402.883711987089</v>
      </c>
      <c r="F69" s="174" t="n">
        <f aca="false">INDEX(Training!$C$120:$Q$120,3*(Unit_Cost!F$6-1)+2)*Unit_Cost!F$8/1000000</f>
        <v>76.2907587747261</v>
      </c>
      <c r="G69" s="174" t="n">
        <f aca="false">INDEX(Training!$C$120:$Q$120,3*(Unit_Cost!G$6-1)+2)*Unit_Cost!G$8/1000000</f>
        <v>102.692503239532</v>
      </c>
      <c r="H69" s="174" t="n">
        <f aca="false">INDEX(Training!$C$120:$Q$120,3*(Unit_Cost!H$6-1)+2)*Unit_Cost!H$8/1000000</f>
        <v>167.067724213561</v>
      </c>
      <c r="I69" s="174" t="n">
        <f aca="false">INDEX(Training!$C$120:$Q$120,3*(Unit_Cost!I$6-1)+2)*Unit_Cost!I$8/1000000</f>
        <v>89.0539546714404</v>
      </c>
      <c r="J69" s="174" t="n">
        <f aca="false">INDEX(Training!$C$120:$Q$120,3*(Unit_Cost!J$6-1)+2)*Unit_Cost!J$8/1000000</f>
        <v>130.139855316572</v>
      </c>
      <c r="K69" s="174" t="n">
        <f aca="false">INDEX(Training!$C$120:$Q$120,3*(Unit_Cost!K$6-1)+2)*Unit_Cost!K$8/1000000</f>
        <v>244.144876188648</v>
      </c>
      <c r="L69" s="174" t="n">
        <f aca="false">INDEX(Training!$C$120:$Q$120,3*(Unit_Cost!L$6-1)+2)*Unit_Cost!L$8/1000000</f>
        <v>63.1625163853911</v>
      </c>
      <c r="M69" s="174" t="n">
        <f aca="false">INDEX(Training!$C$120:$Q$120,3*(Unit_Cost!M$6-1)+2)*Unit_Cost!M$8/1000000</f>
        <v>81.946447490806</v>
      </c>
      <c r="N69" s="174" t="n">
        <f aca="false">INDEX(Training!$C$120:$Q$120,3*(Unit_Cost!N$6-1)+2)*Unit_Cost!N$8/1000000</f>
        <v>132.776514204218</v>
      </c>
      <c r="O69" s="174" t="n">
        <f aca="false">INDEX(Training!$C$120:$Q$120,3*(Unit_Cost!O$6-1)+2)*Unit_Cost!O$8/1000000</f>
        <v>45.0437842873498</v>
      </c>
      <c r="P69" s="174" t="n">
        <f aca="false">INDEX(Training!$C$120:$Q$120,3*(Unit_Cost!P$6-1)+2)*Unit_Cost!P$8/1000000</f>
        <v>69.2510915022717</v>
      </c>
      <c r="Q69" s="174" t="n">
        <f aca="false">INDEX(Training!$C$120:$Q$120,3*(Unit_Cost!Q$6-1)+2)*Unit_Cost!Q$8/1000000</f>
        <v>126.93423827682</v>
      </c>
      <c r="R69" s="8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69" s="53" t="str">
        <f aca="false">IF(R69="—","—",IF(R69="A","基準輸入",IF(R69="B","情境、相對比較、反轉門檻","探索")))</f>
        <v>情境、相對比較、反轉門檻</v>
      </c>
      <c r="T69" s="54" t="s">
        <v>587</v>
      </c>
      <c r="U69" s="53" t="str">
        <f aca="false">IF(V69=0,"—",LEFT(TEXT(V69,"0"),4)&amp;"-"&amp;MID(TEXT(V69,"0"),5,2)&amp;"-"&amp;RIGHT(TEXT(V69,"0"),2))</f>
        <v>2026-10-05</v>
      </c>
      <c r="V69" s="8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69" s="66" t="s">
        <v>1994</v>
      </c>
      <c r="X69" s="104" t="n">
        <f aca="false">IF(ISNUMBER(FIND("上限",S69)),1,0)</f>
        <v>0</v>
      </c>
      <c r="Y69" s="104" t="n">
        <v>0</v>
      </c>
    </row>
    <row r="70" customFormat="false" ht="15" hidden="false" customHeight="true" outlineLevel="0" collapsed="false">
      <c r="A70" s="35" t="s">
        <v>2003</v>
      </c>
      <c r="B70" s="36" t="s">
        <v>79</v>
      </c>
      <c r="C70" s="181" t="n">
        <f aca="false">INDEX(Training!$C$123:$Q$123,3*(Unit_Cost!C$6-1)+2)</f>
        <v>0.0231462920032773</v>
      </c>
      <c r="D70" s="181" t="n">
        <f aca="false">INDEX(Training!$C$123:$Q$123,3*(Unit_Cost!D$6-1)+2)</f>
        <v>0.0231462920032773</v>
      </c>
      <c r="E70" s="181" t="n">
        <f aca="false">INDEX(Training!$C$123:$Q$123,3*(Unit_Cost!E$6-1)+2)</f>
        <v>0.0231462920032773</v>
      </c>
      <c r="F70" s="181" t="n">
        <f aca="false">INDEX(Training!$C$123:$Q$123,3*(Unit_Cost!F$6-1)+2)</f>
        <v>0.0111975472382432</v>
      </c>
      <c r="G70" s="181" t="n">
        <f aca="false">INDEX(Training!$C$123:$Q$123,3*(Unit_Cost!G$6-1)+2)</f>
        <v>0.0111975472382432</v>
      </c>
      <c r="H70" s="181" t="n">
        <f aca="false">INDEX(Training!$C$123:$Q$123,3*(Unit_Cost!H$6-1)+2)</f>
        <v>0.0111975472382432</v>
      </c>
      <c r="I70" s="181" t="n">
        <f aca="false">INDEX(Training!$C$123:$Q$123,3*(Unit_Cost!I$6-1)+2)</f>
        <v>0.0102273044724078</v>
      </c>
      <c r="J70" s="181" t="n">
        <f aca="false">INDEX(Training!$C$123:$Q$123,3*(Unit_Cost!J$6-1)+2)</f>
        <v>0.0102273044724078</v>
      </c>
      <c r="K70" s="181" t="n">
        <f aca="false">INDEX(Training!$C$123:$Q$123,3*(Unit_Cost!K$6-1)+2)</f>
        <v>0.0102273044724078</v>
      </c>
      <c r="L70" s="181" t="n">
        <f aca="false">INDEX(Training!$C$123:$Q$123,3*(Unit_Cost!L$6-1)+2)</f>
        <v>0.00642112099901794</v>
      </c>
      <c r="M70" s="181" t="n">
        <f aca="false">INDEX(Training!$C$123:$Q$123,3*(Unit_Cost!M$6-1)+2)</f>
        <v>0.00642112099901794</v>
      </c>
      <c r="N70" s="181" t="n">
        <f aca="false">INDEX(Training!$C$123:$Q$123,3*(Unit_Cost!N$6-1)+2)</f>
        <v>0.00642112099901794</v>
      </c>
      <c r="O70" s="181" t="n">
        <f aca="false">INDEX(Training!$C$123:$Q$123,3*(Unit_Cost!O$6-1)+2)</f>
        <v>0.00430948556016603</v>
      </c>
      <c r="P70" s="181" t="n">
        <f aca="false">INDEX(Training!$C$123:$Q$123,3*(Unit_Cost!P$6-1)+2)</f>
        <v>0.00430948556016603</v>
      </c>
      <c r="Q70" s="181" t="n">
        <f aca="false">INDEX(Training!$C$123:$Q$123,3*(Unit_Cost!Q$6-1)+2)</f>
        <v>0.00430948556016603</v>
      </c>
      <c r="R70" s="8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0" s="53" t="str">
        <f aca="false">IF(R70="—","—",IF(R70="A","基準輸入",IF(R70="B","情境、相對比較、反轉門檻","探索")))</f>
        <v>情境、相對比較、反轉門檻</v>
      </c>
      <c r="T70" s="54" t="s">
        <v>587</v>
      </c>
      <c r="U70" s="53" t="str">
        <f aca="false">IF(V70=0,"—",LEFT(TEXT(V70,"0"),4)&amp;"-"&amp;MID(TEXT(V70,"0"),5,2)&amp;"-"&amp;RIGHT(TEXT(V70,"0"),2))</f>
        <v>2026-10-05</v>
      </c>
      <c r="V70" s="8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0" s="66" t="s">
        <v>1996</v>
      </c>
      <c r="X70" s="104" t="n">
        <f aca="false">IF(ISNUMBER(FIND("上限",S70)),1,0)</f>
        <v>0</v>
      </c>
      <c r="Y70" s="104" t="n">
        <v>0</v>
      </c>
    </row>
    <row r="71" customFormat="false" ht="15" hidden="false" customHeight="true" outlineLevel="0" collapsed="false">
      <c r="A71" s="8" t="s">
        <v>229</v>
      </c>
    </row>
    <row r="72" customFormat="false" ht="15" hidden="false" customHeight="true" outlineLevel="0" collapsed="false">
      <c r="A72" s="35" t="s">
        <v>2004</v>
      </c>
      <c r="B72" s="36" t="s">
        <v>988</v>
      </c>
      <c r="C72" s="41" t="n">
        <f aca="false">INDEX(Training!$C$106:$Q$106,3*(Unit_Cost!C$6-1)+3)</f>
        <v>112183463.020854</v>
      </c>
      <c r="D72" s="41" t="n">
        <f aca="false">INDEX(Training!$C$106:$Q$106,3*(Unit_Cost!D$6-1)+3)</f>
        <v>112183463.020854</v>
      </c>
      <c r="E72" s="41" t="n">
        <f aca="false">INDEX(Training!$C$106:$Q$106,3*(Unit_Cost!E$6-1)+3)</f>
        <v>112183463.020854</v>
      </c>
      <c r="F72" s="41" t="n">
        <f aca="false">INDEX(Training!$C$106:$Q$106,3*(Unit_Cost!F$6-1)+3)</f>
        <v>38678967.4074746</v>
      </c>
      <c r="G72" s="41" t="n">
        <f aca="false">INDEX(Training!$C$106:$Q$106,3*(Unit_Cost!G$6-1)+3)</f>
        <v>38678967.4074746</v>
      </c>
      <c r="H72" s="41" t="n">
        <f aca="false">INDEX(Training!$C$106:$Q$106,3*(Unit_Cost!H$6-1)+3)</f>
        <v>38678967.4074746</v>
      </c>
      <c r="I72" s="41" t="n">
        <f aca="false">INDEX(Training!$C$106:$Q$106,3*(Unit_Cost!I$6-1)+3)</f>
        <v>34975510.1307514</v>
      </c>
      <c r="J72" s="41" t="n">
        <f aca="false">INDEX(Training!$C$106:$Q$106,3*(Unit_Cost!J$6-1)+3)</f>
        <v>34975510.1307514</v>
      </c>
      <c r="K72" s="41" t="n">
        <f aca="false">INDEX(Training!$C$106:$Q$106,3*(Unit_Cost!K$6-1)+3)</f>
        <v>34975510.1307514</v>
      </c>
      <c r="L72" s="41" t="n">
        <f aca="false">INDEX(Training!$C$106:$Q$106,3*(Unit_Cost!L$6-1)+3)</f>
        <v>12784087.465584</v>
      </c>
      <c r="M72" s="41" t="n">
        <f aca="false">INDEX(Training!$C$106:$Q$106,3*(Unit_Cost!M$6-1)+3)</f>
        <v>12784087.465584</v>
      </c>
      <c r="N72" s="41" t="n">
        <f aca="false">INDEX(Training!$C$106:$Q$106,3*(Unit_Cost!N$6-1)+3)</f>
        <v>12784087.465584</v>
      </c>
      <c r="O72" s="41" t="n">
        <f aca="false">INDEX(Training!$C$106:$Q$106,3*(Unit_Cost!O$6-1)+3)</f>
        <v>5811483.35408388</v>
      </c>
      <c r="P72" s="41" t="n">
        <f aca="false">INDEX(Training!$C$106:$Q$106,3*(Unit_Cost!P$6-1)+3)</f>
        <v>5811483.35408388</v>
      </c>
      <c r="Q72" s="41" t="n">
        <f aca="false">INDEX(Training!$C$106:$Q$106,3*(Unit_Cost!Q$6-1)+3)</f>
        <v>5811483.35408388</v>
      </c>
      <c r="R72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2" s="53" t="str">
        <f aca="false">IF(R72="—","—",IF(R72="A","基準輸入",IF(R72="B","情境、相對比較、反轉門檻","探索")))</f>
        <v>情境、相對比較、反轉門檻</v>
      </c>
      <c r="T72" s="54" t="s">
        <v>587</v>
      </c>
      <c r="U72" s="53" t="str">
        <f aca="false">IF(V72=0,"—",LEFT(TEXT(V72,"0"),4)&amp;"-"&amp;MID(TEXT(V72,"0"),5,2)&amp;"-"&amp;RIGHT(TEXT(V72,"0"),2))</f>
        <v>2026-10-05</v>
      </c>
      <c r="V72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2" s="66" t="s">
        <v>1983</v>
      </c>
      <c r="X72" s="104" t="n">
        <f aca="false">IF(ISNUMBER(FIND("上限",S72)),1,0)</f>
        <v>0</v>
      </c>
      <c r="Y72" s="104" t="n">
        <v>0</v>
      </c>
    </row>
    <row r="73" customFormat="false" ht="15" hidden="false" customHeight="true" outlineLevel="0" collapsed="false">
      <c r="A73" s="35" t="s">
        <v>2005</v>
      </c>
      <c r="B73" s="36" t="s">
        <v>844</v>
      </c>
      <c r="C73" s="178" t="n">
        <f aca="false">INDEX(Training!$C$106:$Q$106,3*(Unit_Cost!C$6-1)+3)*Unit_Cost!C$8/1000000</f>
        <v>124.845239333062</v>
      </c>
      <c r="D73" s="178" t="n">
        <f aca="false">INDEX(Training!$C$106:$Q$106,3*(Unit_Cost!D$6-1)+3)*Unit_Cost!D$8/1000000</f>
        <v>180.057740229558</v>
      </c>
      <c r="E73" s="178" t="n">
        <f aca="false">INDEX(Training!$C$106:$Q$106,3*(Unit_Cost!E$6-1)+3)*Unit_Cost!E$8/1000000</f>
        <v>310.434186156141</v>
      </c>
      <c r="F73" s="178" t="n">
        <f aca="false">INDEX(Training!$C$106:$Q$106,3*(Unit_Cost!F$6-1)+3)*Unit_Cost!F$8/1000000</f>
        <v>59.9538166457782</v>
      </c>
      <c r="G73" s="178" t="n">
        <f aca="false">INDEX(Training!$C$106:$Q$106,3*(Unit_Cost!G$6-1)+3)*Unit_Cost!G$8/1000000</f>
        <v>80.7018780387141</v>
      </c>
      <c r="H73" s="178" t="n">
        <f aca="false">INDEX(Training!$C$106:$Q$106,3*(Unit_Cost!H$6-1)+3)*Unit_Cost!H$8/1000000</f>
        <v>131.291756246702</v>
      </c>
      <c r="I73" s="178" t="n">
        <f aca="false">INDEX(Training!$C$106:$Q$106,3*(Unit_Cost!I$6-1)+3)*Unit_Cost!I$8/1000000</f>
        <v>71.3864657110668</v>
      </c>
      <c r="J73" s="178" t="n">
        <f aca="false">INDEX(Training!$C$106:$Q$106,3*(Unit_Cost!J$6-1)+3)*Unit_Cost!J$8/1000000</f>
        <v>104.321299974554</v>
      </c>
      <c r="K73" s="178" t="n">
        <f aca="false">INDEX(Training!$C$106:$Q$106,3*(Unit_Cost!K$6-1)+3)*Unit_Cost!K$8/1000000</f>
        <v>195.708768879222</v>
      </c>
      <c r="L73" s="178" t="n">
        <f aca="false">INDEX(Training!$C$106:$Q$106,3*(Unit_Cost!L$6-1)+3)*Unit_Cost!L$8/1000000</f>
        <v>49.2053430691912</v>
      </c>
      <c r="M73" s="178" t="n">
        <f aca="false">INDEX(Training!$C$106:$Q$106,3*(Unit_Cost!M$6-1)+3)*Unit_Cost!M$8/1000000</f>
        <v>63.8385436939176</v>
      </c>
      <c r="N73" s="178" t="n">
        <f aca="false">INDEX(Training!$C$106:$Q$106,3*(Unit_Cost!N$6-1)+3)*Unit_Cost!N$8/1000000</f>
        <v>103.43656818684</v>
      </c>
      <c r="O73" s="178" t="n">
        <f aca="false">INDEX(Training!$C$106:$Q$106,3*(Unit_Cost!O$6-1)+3)*Unit_Cost!O$8/1000000</f>
        <v>35.603489581288</v>
      </c>
      <c r="P73" s="178" t="n">
        <f aca="false">INDEX(Training!$C$106:$Q$106,3*(Unit_Cost!P$6-1)+3)*Unit_Cost!P$8/1000000</f>
        <v>54.7374194642521</v>
      </c>
      <c r="Q73" s="178" t="n">
        <f aca="false">INDEX(Training!$C$106:$Q$106,3*(Unit_Cost!Q$6-1)+3)*Unit_Cost!Q$8/1000000</f>
        <v>100.33130878097</v>
      </c>
      <c r="R73" s="8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$599)&gt;0,"B","A"))</f>
        <v>B</v>
      </c>
      <c r="S73" s="53" t="str">
        <f aca="false">IF(R73="—","—",IF(R73="A","基準輸入",IF(R73="B","情境、相對比較、反轉門檻","探索")))</f>
        <v>情境、相對比較、反轉門檻</v>
      </c>
      <c r="T73" s="54" t="s">
        <v>587</v>
      </c>
      <c r="U73" s="53" t="str">
        <f aca="false">IF(V73=0,"—",LEFT(TEXT(V73,"0"),4)&amp;"-"&amp;MID(TEXT(V73,"0"),5,2)&amp;"-"&amp;RIGHT(TEXT(V73,"0"),2))</f>
        <v>2026-10-05</v>
      </c>
      <c r="V73" s="8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$599)</f>
        <v>20261005</v>
      </c>
      <c r="W73" s="66" t="s">
        <v>1985</v>
      </c>
      <c r="X73" s="104" t="n">
        <f aca="false">IF(ISNUMBER(FIND("上限",S73)),1,0)</f>
        <v>0</v>
      </c>
      <c r="Y73" s="104" t="n">
        <v>0</v>
      </c>
    </row>
    <row r="74" customFormat="false" ht="15" hidden="false" customHeight="true" outlineLevel="0" collapsed="false">
      <c r="A74" s="35" t="s">
        <v>2006</v>
      </c>
      <c r="B74" s="36" t="s">
        <v>79</v>
      </c>
      <c r="C74" s="179" t="n">
        <f aca="false">INDEX(Training!$C$110:$Q$110,3*(Unit_Cost!C$6-1)+3)</f>
        <v>0.268885180199482</v>
      </c>
      <c r="D74" s="179" t="n">
        <f aca="false">INDEX(Training!$C$110:$Q$110,3*(Unit_Cost!D$6-1)+3)</f>
        <v>0.268885180199482</v>
      </c>
      <c r="E74" s="179" t="n">
        <f aca="false">INDEX(Training!$C$110:$Q$110,3*(Unit_Cost!E$6-1)+3)</f>
        <v>0.268885180199482</v>
      </c>
      <c r="F74" s="179" t="n">
        <f aca="false">INDEX(Training!$C$110:$Q$110,3*(Unit_Cost!F$6-1)+3)</f>
        <v>0.268885180199482</v>
      </c>
      <c r="G74" s="179" t="n">
        <f aca="false">INDEX(Training!$C$110:$Q$110,3*(Unit_Cost!G$6-1)+3)</f>
        <v>0.268885180199482</v>
      </c>
      <c r="H74" s="179" t="n">
        <f aca="false">INDEX(Training!$C$110:$Q$110,3*(Unit_Cost!H$6-1)+3)</f>
        <v>0.268885180199482</v>
      </c>
      <c r="I74" s="179" t="n">
        <f aca="false">INDEX(Training!$C$110:$Q$110,3*(Unit_Cost!I$6-1)+3)</f>
        <v>0.268885180199482</v>
      </c>
      <c r="J74" s="179" t="n">
        <f aca="false">INDEX(Training!$C$110:$Q$110,3*(Unit_Cost!J$6-1)+3)</f>
        <v>0.268885180199482</v>
      </c>
      <c r="K74" s="179" t="n">
        <f aca="false">INDEX(Training!$C$110:$Q$110,3*(Unit_Cost!K$6-1)+3)</f>
        <v>0.268885180199482</v>
      </c>
      <c r="L74" s="179" t="n">
        <f aca="false">INDEX(Training!$C$110:$Q$110,3*(Unit_Cost!L$6-1)+3)</f>
        <v>0.268885180199482</v>
      </c>
      <c r="M74" s="179" t="n">
        <f aca="false">INDEX(Training!$C$110:$Q$110,3*(Unit_Cost!M$6-1)+3)</f>
        <v>0.268885180199482</v>
      </c>
      <c r="N74" s="179" t="n">
        <f aca="false">INDEX(Training!$C$110:$Q$110,3*(Unit_Cost!N$6-1)+3)</f>
        <v>0.268885180199482</v>
      </c>
      <c r="O74" s="179" t="n">
        <f aca="false">INDEX(Training!$C$110:$Q$110,3*(Unit_Cost!O$6-1)+3)</f>
        <v>0.268885180199482</v>
      </c>
      <c r="P74" s="179" t="n">
        <f aca="false">INDEX(Training!$C$110:$Q$110,3*(Unit_Cost!P$6-1)+3)</f>
        <v>0.268885180199482</v>
      </c>
      <c r="Q74" s="179" t="n">
        <f aca="false">INDEX(Training!$C$110:$Q$110,3*(Unit_Cost!Q$6-1)+3)</f>
        <v>0.268885180199482</v>
      </c>
      <c r="R74" s="85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$564)&gt;0,"B","A"))</f>
        <v>B</v>
      </c>
      <c r="S74" s="53" t="str">
        <f aca="false">IF(R74="—","—",IF(R74="A","基準輸入",IF(R74="B","情境、相對比較、反轉門檻","探索")))</f>
        <v>情境、相對比較、反轉門檻</v>
      </c>
      <c r="T74" s="54" t="s">
        <v>587</v>
      </c>
      <c r="U74" s="53" t="str">
        <f aca="false">IF(V74=0,"—",LEFT(TEXT(V74,"0"),4)&amp;"-"&amp;MID(TEXT(V74,"0"),5,2)&amp;"-"&amp;RIGHT(TEXT(V74,"0"),2))</f>
        <v>2026-10-05</v>
      </c>
      <c r="V74" s="8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$564)</f>
        <v>20261005</v>
      </c>
      <c r="W74" s="66" t="s">
        <v>1987</v>
      </c>
      <c r="X74" s="104" t="n">
        <f aca="false">IF(ISNUMBER(FIND("上限",S74)),1,0)</f>
        <v>0</v>
      </c>
      <c r="Y74" s="104" t="n">
        <v>0</v>
      </c>
    </row>
    <row r="75" customFormat="false" ht="15" hidden="false" customHeight="true" outlineLevel="0" collapsed="false">
      <c r="A75" s="35" t="s">
        <v>2007</v>
      </c>
      <c r="B75" s="36" t="s">
        <v>79</v>
      </c>
      <c r="C75" s="180" t="n">
        <f aca="false">INDEX(Training!$C$111:$Q$111,3*(Unit_Cost!C$6-1)+3)</f>
        <v>0.55968476412224</v>
      </c>
      <c r="D75" s="180" t="n">
        <f aca="false">INDEX(Training!$C$111:$Q$111,3*(Unit_Cost!D$6-1)+3)</f>
        <v>0.55968476412224</v>
      </c>
      <c r="E75" s="180" t="n">
        <f aca="false">INDEX(Training!$C$111:$Q$111,3*(Unit_Cost!E$6-1)+3)</f>
        <v>0.55968476412224</v>
      </c>
      <c r="F75" s="180" t="n">
        <f aca="false">INDEX(Training!$C$111:$Q$111,3*(Unit_Cost!F$6-1)+3)</f>
        <v>0.504541712883535</v>
      </c>
      <c r="G75" s="180" t="n">
        <f aca="false">INDEX(Training!$C$111:$Q$111,3*(Unit_Cost!G$6-1)+3)</f>
        <v>0.504541712883535</v>
      </c>
      <c r="H75" s="180" t="n">
        <f aca="false">INDEX(Training!$C$111:$Q$111,3*(Unit_Cost!H$6-1)+3)</f>
        <v>0.504541712883535</v>
      </c>
      <c r="I75" s="180" t="n">
        <f aca="false">INDEX(Training!$C$111:$Q$111,3*(Unit_Cost!I$6-1)+3)</f>
        <v>0.460983664042966</v>
      </c>
      <c r="J75" s="180" t="n">
        <f aca="false">INDEX(Training!$C$111:$Q$111,3*(Unit_Cost!J$6-1)+3)</f>
        <v>0.460983664042966</v>
      </c>
      <c r="K75" s="180" t="n">
        <f aca="false">INDEX(Training!$C$111:$Q$111,3*(Unit_Cost!K$6-1)+3)</f>
        <v>0.460983664042966</v>
      </c>
      <c r="L75" s="180" t="n">
        <f aca="false">INDEX(Training!$C$111:$Q$111,3*(Unit_Cost!L$6-1)+3)</f>
        <v>0.521148040333377</v>
      </c>
      <c r="M75" s="180" t="n">
        <f aca="false">INDEX(Training!$C$111:$Q$111,3*(Unit_Cost!M$6-1)+3)</f>
        <v>0.521148040333377</v>
      </c>
      <c r="N75" s="180" t="n">
        <f aca="false">INDEX(Training!$C$111:$Q$111,3*(Unit_Cost!N$6-1)+3)</f>
        <v>0.521148040333377</v>
      </c>
      <c r="O75" s="180" t="n">
        <f aca="false">INDEX(Training!$C$111:$Q$111,3*(Unit_Cost!O$6-1)+3)</f>
        <v>0.481150986813593</v>
      </c>
      <c r="P75" s="180" t="n">
        <f aca="false">INDEX(Training!$C$111:$Q$111,3*(Unit_Cost!P$6-1)+3)</f>
        <v>0.481150986813593</v>
      </c>
      <c r="Q75" s="180" t="n">
        <f aca="false">INDEX(Training!$C$111:$Q$111,3*(Unit_Cost!Q$6-1)+3)</f>
        <v>0.481150986813593</v>
      </c>
      <c r="R75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$599)&gt;0,"B","A"))</f>
        <v>B</v>
      </c>
      <c r="S75" s="53" t="str">
        <f aca="false">IF(R75="—","—",IF(R75="A","基準輸入",IF(R75="B","情境、相對比較、反轉門檻","探索")))</f>
        <v>情境、相對比較、反轉門檻</v>
      </c>
      <c r="T75" s="54" t="s">
        <v>587</v>
      </c>
      <c r="U75" s="53" t="str">
        <f aca="false">IF(V75=0,"—",LEFT(TEXT(V75,"0"),4)&amp;"-"&amp;MID(TEXT(V75,"0"),5,2)&amp;"-"&amp;RIGHT(TEXT(V75,"0"),2))</f>
        <v>2026-10-05</v>
      </c>
      <c r="V75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$599)</f>
        <v>20261005</v>
      </c>
      <c r="W75" s="66" t="s">
        <v>1989</v>
      </c>
      <c r="X75" s="104" t="n">
        <f aca="false">IF(ISNUMBER(FIND("上限",S75)),1,0)</f>
        <v>0</v>
      </c>
      <c r="Y75" s="104" t="n">
        <v>0</v>
      </c>
    </row>
    <row r="76" customFormat="false" ht="15" hidden="false" customHeight="true" outlineLevel="0" collapsed="false">
      <c r="A76" s="36" t="s">
        <v>2008</v>
      </c>
      <c r="B76" s="36" t="s">
        <v>79</v>
      </c>
      <c r="C76" s="179" t="n">
        <f aca="false">INDEX(Training!$C$77:$Q$77,3*(Unit_Cost!C$6-1)+3)</f>
        <v>0.0647492613469604</v>
      </c>
      <c r="D76" s="179" t="n">
        <f aca="false">INDEX(Training!$C$77:$Q$77,3*(Unit_Cost!D$6-1)+3)</f>
        <v>0.0647492613469604</v>
      </c>
      <c r="E76" s="179" t="n">
        <f aca="false">INDEX(Training!$C$77:$Q$77,3*(Unit_Cost!E$6-1)+3)</f>
        <v>0.0647492613469604</v>
      </c>
      <c r="F76" s="179" t="n">
        <f aca="false">INDEX(Training!$C$77:$Q$77,3*(Unit_Cost!F$6-1)+3)</f>
        <v>0.0807474836755068</v>
      </c>
      <c r="G76" s="179" t="n">
        <f aca="false">INDEX(Training!$C$77:$Q$77,3*(Unit_Cost!G$6-1)+3)</f>
        <v>0.0807474836755068</v>
      </c>
      <c r="H76" s="179" t="n">
        <f aca="false">INDEX(Training!$C$77:$Q$77,3*(Unit_Cost!H$6-1)+3)</f>
        <v>0.0807474836755068</v>
      </c>
      <c r="I76" s="179" t="n">
        <f aca="false">INDEX(Training!$C$77:$Q$77,3*(Unit_Cost!I$6-1)+3)</f>
        <v>0.0961724702603611</v>
      </c>
      <c r="J76" s="179" t="n">
        <f aca="false">INDEX(Training!$C$77:$Q$77,3*(Unit_Cost!J$6-1)+3)</f>
        <v>0.0961724702603611</v>
      </c>
      <c r="K76" s="179" t="n">
        <f aca="false">INDEX(Training!$C$77:$Q$77,3*(Unit_Cost!K$6-1)+3)</f>
        <v>0.0961724702603611</v>
      </c>
      <c r="L76" s="179" t="n">
        <f aca="false">INDEX(Training!$C$77:$Q$77,3*(Unit_Cost!L$6-1)+3)</f>
        <v>0.0679835504547044</v>
      </c>
      <c r="M76" s="179" t="n">
        <f aca="false">INDEX(Training!$C$77:$Q$77,3*(Unit_Cost!M$6-1)+3)</f>
        <v>0.0679835504547044</v>
      </c>
      <c r="N76" s="179" t="n">
        <f aca="false">INDEX(Training!$C$77:$Q$77,3*(Unit_Cost!N$6-1)+3)</f>
        <v>0.0679835504547044</v>
      </c>
      <c r="O76" s="179" t="n">
        <f aca="false">INDEX(Training!$C$77:$Q$77,3*(Unit_Cost!O$6-1)+3)</f>
        <v>0.0798187502820238</v>
      </c>
      <c r="P76" s="179" t="n">
        <f aca="false">INDEX(Training!$C$77:$Q$77,3*(Unit_Cost!P$6-1)+3)</f>
        <v>0.0798187502820238</v>
      </c>
      <c r="Q76" s="179" t="n">
        <f aca="false">INDEX(Training!$C$77:$Q$77,3*(Unit_Cost!Q$6-1)+3)</f>
        <v>0.0798187502820238</v>
      </c>
      <c r="R76" s="85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$599)&gt;0,"B","A"))</f>
        <v>B</v>
      </c>
      <c r="S76" s="53" t="str">
        <f aca="false">IF(R76="—","—",IF(R76="A","基準輸入",IF(R76="B","情境、相對比較、反轉門檻","探索")))</f>
        <v>情境、相對比較、反轉門檻</v>
      </c>
      <c r="T76" s="54" t="s">
        <v>587</v>
      </c>
      <c r="U76" s="53" t="str">
        <f aca="false">IF(V76=0,"—",LEFT(TEXT(V76,"0"),4)&amp;"-"&amp;MID(TEXT(V76,"0"),5,2)&amp;"-"&amp;RIGHT(TEXT(V76,"0"),2))</f>
        <v>2026-10-05</v>
      </c>
      <c r="V76" s="82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$599)</f>
        <v>20261005</v>
      </c>
      <c r="W76" s="66" t="s">
        <v>1991</v>
      </c>
      <c r="X76" s="104" t="n">
        <f aca="false">IF(ISNUMBER(FIND("上限",S76)),1,0)</f>
        <v>0</v>
      </c>
      <c r="Y76" s="104" t="n">
        <v>0</v>
      </c>
    </row>
    <row r="77" customFormat="false" ht="15" hidden="false" customHeight="true" outlineLevel="0" collapsed="false">
      <c r="A77" s="35" t="s">
        <v>2009</v>
      </c>
      <c r="B77" s="36" t="s">
        <v>988</v>
      </c>
      <c r="C77" s="174" t="n">
        <f aca="false">INDEX(Training!$C$120:$Q$120,3*(Unit_Cost!C$6-1)+3)</f>
        <v>897467704.166834</v>
      </c>
      <c r="D77" s="174" t="n">
        <f aca="false">INDEX(Training!$C$120:$Q$120,3*(Unit_Cost!D$6-1)+3)</f>
        <v>897467704.166834</v>
      </c>
      <c r="E77" s="174" t="n">
        <f aca="false">INDEX(Training!$C$120:$Q$120,3*(Unit_Cost!E$6-1)+3)</f>
        <v>897467704.166834</v>
      </c>
      <c r="F77" s="174" t="n">
        <f aca="false">INDEX(Training!$C$120:$Q$120,3*(Unit_Cost!F$6-1)+3)</f>
        <v>309431739.259797</v>
      </c>
      <c r="G77" s="174" t="n">
        <f aca="false">INDEX(Training!$C$120:$Q$120,3*(Unit_Cost!G$6-1)+3)</f>
        <v>309431739.259797</v>
      </c>
      <c r="H77" s="174" t="n">
        <f aca="false">INDEX(Training!$C$120:$Q$120,3*(Unit_Cost!H$6-1)+3)</f>
        <v>309431739.259797</v>
      </c>
      <c r="I77" s="174" t="n">
        <f aca="false">INDEX(Training!$C$120:$Q$120,3*(Unit_Cost!I$6-1)+3)</f>
        <v>279804081.046011</v>
      </c>
      <c r="J77" s="174" t="n">
        <f aca="false">INDEX(Training!$C$120:$Q$120,3*(Unit_Cost!J$6-1)+3)</f>
        <v>279804081.046011</v>
      </c>
      <c r="K77" s="174" t="n">
        <f aca="false">INDEX(Training!$C$120:$Q$120,3*(Unit_Cost!K$6-1)+3)</f>
        <v>279804081.046011</v>
      </c>
      <c r="L77" s="174" t="n">
        <f aca="false">INDEX(Training!$C$120:$Q$120,3*(Unit_Cost!L$6-1)+3)</f>
        <v>102272699.724672</v>
      </c>
      <c r="M77" s="174" t="n">
        <f aca="false">INDEX(Training!$C$120:$Q$120,3*(Unit_Cost!M$6-1)+3)</f>
        <v>102272699.724672</v>
      </c>
      <c r="N77" s="174" t="n">
        <f aca="false">INDEX(Training!$C$120:$Q$120,3*(Unit_Cost!N$6-1)+3)</f>
        <v>102272699.724672</v>
      </c>
      <c r="O77" s="174" t="n">
        <f aca="false">INDEX(Training!$C$120:$Q$120,3*(Unit_Cost!O$6-1)+3)</f>
        <v>46491866.832671</v>
      </c>
      <c r="P77" s="174" t="n">
        <f aca="false">INDEX(Training!$C$120:$Q$120,3*(Unit_Cost!P$6-1)+3)</f>
        <v>46491866.832671</v>
      </c>
      <c r="Q77" s="174" t="n">
        <f aca="false">INDEX(Training!$C$120:$Q$120,3*(Unit_Cost!Q$6-1)+3)</f>
        <v>46491866.832671</v>
      </c>
      <c r="R77" s="85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7" s="53" t="str">
        <f aca="false">IF(R77="—","—",IF(R77="A","基準輸入",IF(R77="B","情境、相對比較、反轉門檻","探索")))</f>
        <v>情境、相對比較、反轉門檻</v>
      </c>
      <c r="T77" s="54" t="s">
        <v>587</v>
      </c>
      <c r="U77" s="53" t="str">
        <f aca="false">IF(V77=0,"—",LEFT(TEXT(V77,"0"),4)&amp;"-"&amp;MID(TEXT(V77,"0"),5,2)&amp;"-"&amp;RIGHT(TEXT(V77,"0"),2))</f>
        <v>2026-10-05</v>
      </c>
      <c r="V77" s="82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7" s="66" t="s">
        <v>1993</v>
      </c>
      <c r="X77" s="104" t="n">
        <f aca="false">IF(ISNUMBER(FIND("上限",S77)),1,0)</f>
        <v>0</v>
      </c>
      <c r="Y77" s="104" t="n">
        <v>0</v>
      </c>
    </row>
    <row r="78" customFormat="false" ht="15" hidden="false" customHeight="true" outlineLevel="0" collapsed="false">
      <c r="A78" s="35" t="s">
        <v>1902</v>
      </c>
      <c r="B78" s="36" t="s">
        <v>844</v>
      </c>
      <c r="C78" s="174" t="n">
        <f aca="false">INDEX(Training!$C$120:$Q$120,3*(Unit_Cost!C$6-1)+3)*Unit_Cost!C$8/1000000</f>
        <v>998.761914664494</v>
      </c>
      <c r="D78" s="174" t="n">
        <f aca="false">INDEX(Training!$C$120:$Q$120,3*(Unit_Cost!D$6-1)+3)*Unit_Cost!D$8/1000000</f>
        <v>1440.46192183646</v>
      </c>
      <c r="E78" s="174" t="n">
        <f aca="false">INDEX(Training!$C$120:$Q$120,3*(Unit_Cost!E$6-1)+3)*Unit_Cost!E$8/1000000</f>
        <v>2483.47348924913</v>
      </c>
      <c r="F78" s="174" t="n">
        <f aca="false">INDEX(Training!$C$120:$Q$120,3*(Unit_Cost!F$6-1)+3)*Unit_Cost!F$8/1000000</f>
        <v>479.630533166226</v>
      </c>
      <c r="G78" s="174" t="n">
        <f aca="false">INDEX(Training!$C$120:$Q$120,3*(Unit_Cost!G$6-1)+3)*Unit_Cost!G$8/1000000</f>
        <v>645.615024309713</v>
      </c>
      <c r="H78" s="174" t="n">
        <f aca="false">INDEX(Training!$C$120:$Q$120,3*(Unit_Cost!H$6-1)+3)*Unit_Cost!H$8/1000000</f>
        <v>1050.33404997362</v>
      </c>
      <c r="I78" s="174" t="n">
        <f aca="false">INDEX(Training!$C$120:$Q$120,3*(Unit_Cost!I$6-1)+3)*Unit_Cost!I$8/1000000</f>
        <v>571.091725688534</v>
      </c>
      <c r="J78" s="174" t="n">
        <f aca="false">INDEX(Training!$C$120:$Q$120,3*(Unit_Cost!J$6-1)+3)*Unit_Cost!J$8/1000000</f>
        <v>834.570399796434</v>
      </c>
      <c r="K78" s="174" t="n">
        <f aca="false">INDEX(Training!$C$120:$Q$120,3*(Unit_Cost!K$6-1)+3)*Unit_Cost!K$8/1000000</f>
        <v>1565.67015103377</v>
      </c>
      <c r="L78" s="174" t="n">
        <f aca="false">INDEX(Training!$C$120:$Q$120,3*(Unit_Cost!L$6-1)+3)*Unit_Cost!L$8/1000000</f>
        <v>393.64274455353</v>
      </c>
      <c r="M78" s="174" t="n">
        <f aca="false">INDEX(Training!$C$120:$Q$120,3*(Unit_Cost!M$6-1)+3)*Unit_Cost!M$8/1000000</f>
        <v>510.708349551341</v>
      </c>
      <c r="N78" s="174" t="n">
        <f aca="false">INDEX(Training!$C$120:$Q$120,3*(Unit_Cost!N$6-1)+3)*Unit_Cost!N$8/1000000</f>
        <v>827.492545494721</v>
      </c>
      <c r="O78" s="174" t="n">
        <f aca="false">INDEX(Training!$C$120:$Q$120,3*(Unit_Cost!O$6-1)+3)*Unit_Cost!O$8/1000000</f>
        <v>284.827916650304</v>
      </c>
      <c r="P78" s="174" t="n">
        <f aca="false">INDEX(Training!$C$120:$Q$120,3*(Unit_Cost!P$6-1)+3)*Unit_Cost!P$8/1000000</f>
        <v>437.899355714016</v>
      </c>
      <c r="Q78" s="174" t="n">
        <f aca="false">INDEX(Training!$C$120:$Q$120,3*(Unit_Cost!Q$6-1)+3)*Unit_Cost!Q$8/1000000</f>
        <v>802.650470247758</v>
      </c>
      <c r="R78" s="85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8" s="53" t="str">
        <f aca="false">IF(R78="—","—",IF(R78="A","基準輸入",IF(R78="B","情境、相對比較、反轉門檻","探索")))</f>
        <v>情境、相對比較、反轉門檻</v>
      </c>
      <c r="T78" s="54" t="s">
        <v>587</v>
      </c>
      <c r="U78" s="53" t="str">
        <f aca="false">IF(V78=0,"—",LEFT(TEXT(V78,"0"),4)&amp;"-"&amp;MID(TEXT(V78,"0"),5,2)&amp;"-"&amp;RIGHT(TEXT(V78,"0"),2))</f>
        <v>2026-10-05</v>
      </c>
      <c r="V78" s="82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8" s="66" t="s">
        <v>1994</v>
      </c>
      <c r="X78" s="104" t="n">
        <f aca="false">IF(ISNUMBER(FIND("上限",S78)),1,0)</f>
        <v>0</v>
      </c>
      <c r="Y78" s="104" t="n">
        <v>0</v>
      </c>
    </row>
    <row r="79" customFormat="false" ht="15" hidden="false" customHeight="true" outlineLevel="0" collapsed="false">
      <c r="A79" s="35" t="s">
        <v>2010</v>
      </c>
      <c r="B79" s="36" t="s">
        <v>79</v>
      </c>
      <c r="C79" s="181" t="n">
        <f aca="false">INDEX(Training!$C$123:$Q$123,3*(Unit_Cost!C$6-1)+3)</f>
        <v>0.142679390737942</v>
      </c>
      <c r="D79" s="181" t="n">
        <f aca="false">INDEX(Training!$C$123:$Q$123,3*(Unit_Cost!D$6-1)+3)</f>
        <v>0.142679390737942</v>
      </c>
      <c r="E79" s="181" t="n">
        <f aca="false">INDEX(Training!$C$123:$Q$123,3*(Unit_Cost!E$6-1)+3)</f>
        <v>0.142679390737942</v>
      </c>
      <c r="F79" s="181" t="n">
        <f aca="false">INDEX(Training!$C$123:$Q$123,3*(Unit_Cost!F$6-1)+3)</f>
        <v>0.0703975899347298</v>
      </c>
      <c r="G79" s="181" t="n">
        <f aca="false">INDEX(Training!$C$123:$Q$123,3*(Unit_Cost!G$6-1)+3)</f>
        <v>0.0703975899347298</v>
      </c>
      <c r="H79" s="181" t="n">
        <f aca="false">INDEX(Training!$C$123:$Q$123,3*(Unit_Cost!H$6-1)+3)</f>
        <v>0.0703975899347298</v>
      </c>
      <c r="I79" s="181" t="n">
        <f aca="false">INDEX(Training!$C$123:$Q$123,3*(Unit_Cost!I$6-1)+3)</f>
        <v>0.0655864074968763</v>
      </c>
      <c r="J79" s="181" t="n">
        <f aca="false">INDEX(Training!$C$123:$Q$123,3*(Unit_Cost!J$6-1)+3)</f>
        <v>0.0655864074968763</v>
      </c>
      <c r="K79" s="181" t="n">
        <f aca="false">INDEX(Training!$C$123:$Q$123,3*(Unit_Cost!K$6-1)+3)</f>
        <v>0.0655864074968763</v>
      </c>
      <c r="L79" s="181" t="n">
        <f aca="false">INDEX(Training!$C$123:$Q$123,3*(Unit_Cost!L$6-1)+3)</f>
        <v>0.0400178434586299</v>
      </c>
      <c r="M79" s="181" t="n">
        <f aca="false">INDEX(Training!$C$123:$Q$123,3*(Unit_Cost!M$6-1)+3)</f>
        <v>0.0400178434586299</v>
      </c>
      <c r="N79" s="181" t="n">
        <f aca="false">INDEX(Training!$C$123:$Q$123,3*(Unit_Cost!N$6-1)+3)</f>
        <v>0.0400178434586299</v>
      </c>
      <c r="O79" s="181" t="n">
        <f aca="false">INDEX(Training!$C$123:$Q$123,3*(Unit_Cost!O$6-1)+3)</f>
        <v>0.0272504145323638</v>
      </c>
      <c r="P79" s="181" t="n">
        <f aca="false">INDEX(Training!$C$123:$Q$123,3*(Unit_Cost!P$6-1)+3)</f>
        <v>0.0272504145323638</v>
      </c>
      <c r="Q79" s="181" t="n">
        <f aca="false">INDEX(Training!$C$123:$Q$123,3*(Unit_Cost!Q$6-1)+3)</f>
        <v>0.0272504145323638</v>
      </c>
      <c r="R79" s="8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$599)&gt;0,"B","A"))</f>
        <v>B</v>
      </c>
      <c r="S79" s="53" t="str">
        <f aca="false">IF(R79="—","—",IF(R79="A","基準輸入",IF(R79="B","情境、相對比較、反轉門檻","探索")))</f>
        <v>情境、相對比較、反轉門檻</v>
      </c>
      <c r="T79" s="54" t="s">
        <v>587</v>
      </c>
      <c r="U79" s="53" t="str">
        <f aca="false">IF(V79=0,"—",LEFT(TEXT(V79,"0"),4)&amp;"-"&amp;MID(TEXT(V79,"0"),5,2)&amp;"-"&amp;RIGHT(TEXT(V79,"0"),2))</f>
        <v>2026-10-05</v>
      </c>
      <c r="V79" s="8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$599)</f>
        <v>20261005</v>
      </c>
      <c r="W79" s="66" t="s">
        <v>1996</v>
      </c>
      <c r="X79" s="104" t="n">
        <f aca="false">IF(ISNUMBER(FIND("上限",S79)),1,0)</f>
        <v>0</v>
      </c>
      <c r="Y79" s="104" t="n">
        <v>0</v>
      </c>
    </row>
    <row r="80" customFormat="false" ht="15" hidden="false" customHeight="true" outlineLevel="0" collapsed="false">
      <c r="A80" s="35" t="s">
        <v>2011</v>
      </c>
      <c r="B80" s="36" t="s">
        <v>83</v>
      </c>
      <c r="C80" s="182" t="n">
        <f aca="false">Train_In!$C$13</f>
        <v>8</v>
      </c>
      <c r="R80" s="85" t="str">
        <f aca="false">IF(SUM(Gov_Map!$AG$530)&gt;0,"C",IF(SUM(Gov_Map!$AH$530)&gt;0,"B","A"))</f>
        <v>B</v>
      </c>
      <c r="S80" s="53" t="str">
        <f aca="false">IF(R80="—","—",IF(R80="A","基準輸入",IF(R80="B","情境、相對比較、反轉門檻","探索")))</f>
        <v>情境、相對比較、反轉門檻</v>
      </c>
      <c r="T80" s="54" t="s">
        <v>587</v>
      </c>
      <c r="U80" s="53" t="str">
        <f aca="false">IF(V80=0,"—",LEFT(TEXT(V80,"0"),4)&amp;"-"&amp;MID(TEXT(V80,"0"),5,2)&amp;"-"&amp;RIGHT(TEXT(V80,"0"),2))</f>
        <v>—</v>
      </c>
      <c r="V80" s="82" t="n">
        <f aca="false">MAX(Gov_Map!$AJ$530)</f>
        <v>0</v>
      </c>
      <c r="W80" s="66" t="s">
        <v>2012</v>
      </c>
      <c r="X80" s="104" t="n">
        <f aca="false">IF(ISNUMBER(FIND("上限",S80)),1,0)</f>
        <v>0</v>
      </c>
      <c r="Y80" s="104" t="n">
        <v>0</v>
      </c>
    </row>
    <row r="81" customFormat="false" ht="15" hidden="false" customHeight="true" outlineLevel="0" collapsed="false">
      <c r="A81" s="35" t="s">
        <v>2013</v>
      </c>
      <c r="B81" s="35" t="s">
        <v>911</v>
      </c>
      <c r="C81" s="183" t="n">
        <f aca="false">Train_In!$C$16</f>
        <v>4</v>
      </c>
      <c r="D81" s="184" t="str">
        <f aca="false">INDEX(Spec_Rack!$C$4:$G$4,C81)</f>
        <v>VR200 NVL72</v>
      </c>
      <c r="R81" s="85" t="str">
        <f aca="false">IF(SUM(Gov_Map!$AG$532)&gt;0,"C",IF(SUM(Gov_Map!$AH$532)&gt;0,"B","A"))</f>
        <v>A</v>
      </c>
      <c r="S81" s="53" t="str">
        <f aca="false">IF(R81="—","—",IF(R81="A","基準輸入",IF(R81="B","情境、相對比較、反轉門檻","探索")))</f>
        <v>基準輸入</v>
      </c>
      <c r="T81" s="54" t="s">
        <v>587</v>
      </c>
      <c r="U81" s="53" t="str">
        <f aca="false">IF(V81=0,"—",LEFT(TEXT(V81,"0"),4)&amp;"-"&amp;MID(TEXT(V81,"0"),5,2)&amp;"-"&amp;RIGHT(TEXT(V81,"0"),2))</f>
        <v>—</v>
      </c>
      <c r="V81" s="82" t="n">
        <f aca="false">MAX(Gov_Map!$AJ$532)</f>
        <v>0</v>
      </c>
      <c r="W81" s="66" t="s">
        <v>2014</v>
      </c>
      <c r="X81" s="104" t="n">
        <f aca="false">IF(ISNUMBER(FIND("上限",S81)),1,0)</f>
        <v>0</v>
      </c>
      <c r="Y81" s="104" t="n">
        <v>0</v>
      </c>
    </row>
    <row r="82" customFormat="false" ht="15" hidden="false" customHeight="true" outlineLevel="0" collapsed="false">
      <c r="A82" s="35" t="s">
        <v>2015</v>
      </c>
      <c r="B82" s="35" t="s">
        <v>911</v>
      </c>
      <c r="C82" s="183" t="n">
        <f aca="false">Train_In!$C$17</f>
        <v>3</v>
      </c>
      <c r="D82" s="184" t="str">
        <f aca="false">INDEX(Spec_Rack!$C$4:$G$4,C82)</f>
        <v>GB300 NVL72</v>
      </c>
      <c r="R82" s="85" t="str">
        <f aca="false">IF(SUM(Gov_Map!$AG$533)&gt;0,"C",IF(SUM(Gov_Map!$AH$533)&gt;0,"B","A"))</f>
        <v>A</v>
      </c>
      <c r="S82" s="53" t="str">
        <f aca="false">IF(R82="—","—",IF(R82="A","基準輸入",IF(R82="B","情境、相對比較、反轉門檻","探索")))</f>
        <v>基準輸入</v>
      </c>
      <c r="T82" s="54" t="s">
        <v>587</v>
      </c>
      <c r="U82" s="53" t="str">
        <f aca="false">IF(V82=0,"—",LEFT(TEXT(V82,"0"),4)&amp;"-"&amp;MID(TEXT(V82,"0"),5,2)&amp;"-"&amp;RIGHT(TEXT(V82,"0"),2))</f>
        <v>—</v>
      </c>
      <c r="V82" s="82" t="n">
        <f aca="false">MAX(Gov_Map!$AJ$533)</f>
        <v>0</v>
      </c>
      <c r="W82" s="66" t="s">
        <v>2014</v>
      </c>
      <c r="X82" s="104" t="n">
        <f aca="false">IF(ISNUMBER(FIND("上限",S82)),1,0)</f>
        <v>0</v>
      </c>
      <c r="Y82" s="104" t="n">
        <v>0</v>
      </c>
    </row>
    <row r="84" customFormat="false" ht="15" hidden="false" customHeight="true" outlineLevel="0" collapsed="false">
      <c r="A84" s="34" t="s">
        <v>2016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227</v>
      </c>
    </row>
    <row r="86" customFormat="false" ht="15" hidden="false" customHeight="true" outlineLevel="0" collapsed="false">
      <c r="A86" s="35" t="s">
        <v>2017</v>
      </c>
      <c r="B86" s="36" t="s">
        <v>774</v>
      </c>
      <c r="C86" s="38" t="n">
        <f aca="false">Price_Frontier!C41</f>
        <v>0.08</v>
      </c>
      <c r="R86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53" t="str">
        <f aca="false">IF(R86="—","—",IF(R86="A","基準輸入",IF(R86="B","情境、相對比較、反轉門檻","探索")))</f>
        <v>基準輸入</v>
      </c>
      <c r="T86" s="54" t="s">
        <v>587</v>
      </c>
      <c r="U86" s="53" t="str">
        <f aca="false">IF(V86=0,"—",LEFT(TEXT(V86,"0"),4)&amp;"-"&amp;MID(TEXT(V86,"0"),5,2)&amp;"-"&amp;RIGHT(TEXT(V86,"0"),2))</f>
        <v>—</v>
      </c>
      <c r="V86" s="82" t="n">
        <f aca="false">MAX(Gov_Map!$AJ$445,Gov_Map!$AJ$449,Gov_Map!$AJ$451,Gov_Map!$AJ$510:$AJ$518,Gov_Map!$AJ$521:$AJ$522)</f>
        <v>0</v>
      </c>
      <c r="W86" s="66" t="s">
        <v>2018</v>
      </c>
      <c r="X86" s="104" t="n">
        <f aca="false">IF(ISNUMBER(FIND("上限",S86)),1,0)</f>
        <v>0</v>
      </c>
      <c r="Y86" s="104" t="n">
        <v>0</v>
      </c>
    </row>
    <row r="87" customFormat="false" ht="15" hidden="false" customHeight="true" outlineLevel="0" collapsed="false">
      <c r="A87" s="35" t="s">
        <v>2019</v>
      </c>
      <c r="B87" s="36" t="s">
        <v>774</v>
      </c>
      <c r="C87" s="38" t="n">
        <f aca="false">Price_Frontier!C42</f>
        <v>0.008</v>
      </c>
      <c r="R87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53" t="str">
        <f aca="false">IF(R87="—","—",IF(R87="A","基準輸入",IF(R87="B","情境、相對比較、反轉門檻","探索")))</f>
        <v>基準輸入</v>
      </c>
      <c r="T87" s="54" t="s">
        <v>587</v>
      </c>
      <c r="U87" s="53" t="str">
        <f aca="false">IF(V87=0,"—",LEFT(TEXT(V87,"0"),4)&amp;"-"&amp;MID(TEXT(V87,"0"),5,2)&amp;"-"&amp;RIGHT(TEXT(V87,"0"),2))</f>
        <v>—</v>
      </c>
      <c r="V87" s="82" t="n">
        <f aca="false">MAX(Gov_Map!$AJ$445,Gov_Map!$AJ$449,Gov_Map!$AJ$451,Gov_Map!$AJ$510:$AJ$518,Gov_Map!$AJ$521:$AJ$522)</f>
        <v>0</v>
      </c>
      <c r="W87" s="66" t="s">
        <v>2018</v>
      </c>
      <c r="X87" s="104" t="n">
        <f aca="false">IF(ISNUMBER(FIND("上限",S87)),1,0)</f>
        <v>0</v>
      </c>
      <c r="Y87" s="104" t="n">
        <v>0</v>
      </c>
    </row>
    <row r="88" customFormat="false" ht="15" hidden="false" customHeight="true" outlineLevel="0" collapsed="false">
      <c r="A88" s="35" t="s">
        <v>2020</v>
      </c>
      <c r="B88" s="36" t="s">
        <v>774</v>
      </c>
      <c r="C88" s="38" t="n">
        <f aca="false">Price_Frontier!C43</f>
        <v>0.4</v>
      </c>
      <c r="R88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53" t="str">
        <f aca="false">IF(R88="—","—",IF(R88="A","基準輸入",IF(R88="B","情境、相對比較、反轉門檻","探索")))</f>
        <v>基準輸入</v>
      </c>
      <c r="T88" s="54" t="s">
        <v>587</v>
      </c>
      <c r="U88" s="53" t="str">
        <f aca="false">IF(V88=0,"—",LEFT(TEXT(V88,"0"),4)&amp;"-"&amp;MID(TEXT(V88,"0"),5,2)&amp;"-"&amp;RIGHT(TEXT(V88,"0"),2))</f>
        <v>—</v>
      </c>
      <c r="V88" s="82" t="n">
        <f aca="false">MAX(Gov_Map!$AJ$445,Gov_Map!$AJ$449,Gov_Map!$AJ$451,Gov_Map!$AJ$510:$AJ$518,Gov_Map!$AJ$521:$AJ$522)</f>
        <v>0</v>
      </c>
      <c r="W88" s="66" t="s">
        <v>2018</v>
      </c>
      <c r="X88" s="104" t="n">
        <f aca="false">IF(ISNUMBER(FIND("上限",S88)),1,0)</f>
        <v>0</v>
      </c>
      <c r="Y88" s="104" t="n">
        <v>0</v>
      </c>
    </row>
    <row r="89" customFormat="false" ht="15" hidden="false" customHeight="true" outlineLevel="0" collapsed="false">
      <c r="A89" s="35" t="s">
        <v>2021</v>
      </c>
      <c r="B89" s="36" t="s">
        <v>774</v>
      </c>
      <c r="C89" s="38" t="n">
        <f aca="false">Price_Frontier!C44</f>
        <v>0.4</v>
      </c>
      <c r="R89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53" t="str">
        <f aca="false">IF(R89="—","—",IF(R89="A","基準輸入",IF(R89="B","情境、相對比較、反轉門檻","探索")))</f>
        <v>基準輸入</v>
      </c>
      <c r="T89" s="54" t="s">
        <v>587</v>
      </c>
      <c r="U89" s="53" t="str">
        <f aca="false">IF(V89=0,"—",LEFT(TEXT(V89,"0"),4)&amp;"-"&amp;MID(TEXT(V89,"0"),5,2)&amp;"-"&amp;RIGHT(TEXT(V89,"0"),2))</f>
        <v>—</v>
      </c>
      <c r="V89" s="82" t="n">
        <f aca="false">MAX(Gov_Map!$AJ$445,Gov_Map!$AJ$449,Gov_Map!$AJ$451,Gov_Map!$AJ$510:$AJ$518,Gov_Map!$AJ$521:$AJ$522)</f>
        <v>0</v>
      </c>
      <c r="W89" s="66" t="s">
        <v>2018</v>
      </c>
      <c r="X89" s="104" t="n">
        <f aca="false">IF(ISNUMBER(FIND("上限",S89)),1,0)</f>
        <v>0</v>
      </c>
      <c r="Y89" s="104" t="n">
        <v>0</v>
      </c>
    </row>
    <row r="90" customFormat="false" ht="15" hidden="false" customHeight="true" outlineLevel="0" collapsed="false">
      <c r="A90" s="35" t="s">
        <v>2022</v>
      </c>
      <c r="B90" s="36" t="s">
        <v>774</v>
      </c>
      <c r="C90" s="48" t="n">
        <f aca="false">Price_Frontier!C45</f>
        <v>0.0803555555555556</v>
      </c>
      <c r="R90" s="8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53" t="str">
        <f aca="false">IF(R90="—","—",IF(R90="A","基準輸入",IF(R90="B","情境、相對比較、反轉門檻","探索")))</f>
        <v>情境、相對比較、反轉門檻</v>
      </c>
      <c r="T90" s="54" t="s">
        <v>587</v>
      </c>
      <c r="U90" s="53" t="str">
        <f aca="false">IF(V90=0,"—",LEFT(TEXT(V90,"0"),4)&amp;"-"&amp;MID(TEXT(V90,"0"),5,2)&amp;"-"&amp;RIGHT(TEXT(V90,"0"),2))</f>
        <v>—</v>
      </c>
      <c r="V90" s="82" t="n">
        <f aca="false">MAX(Gov_Map!$AJ$249:$AJ$254,Gov_Map!$AJ$445,Gov_Map!$AJ$447,Gov_Map!$AJ$449,Gov_Map!$AJ$451,Gov_Map!$AJ$510:$AJ$518,Gov_Map!$AJ$521:$AJ$522)</f>
        <v>0</v>
      </c>
      <c r="W90" s="66" t="s">
        <v>2023</v>
      </c>
      <c r="X90" s="104" t="n">
        <f aca="false">IF(ISNUMBER(FIND("上限",S90)),1,0)</f>
        <v>0</v>
      </c>
      <c r="Y90" s="104" t="n">
        <v>0</v>
      </c>
    </row>
    <row r="91" customFormat="false" ht="15" hidden="false" customHeight="true" outlineLevel="0" collapsed="false">
      <c r="A91" s="35" t="s">
        <v>2024</v>
      </c>
      <c r="B91" s="36" t="s">
        <v>774</v>
      </c>
      <c r="C91" s="38" t="n">
        <f aca="false">Price_Frontier!C46</f>
        <v>0.0803555555555556</v>
      </c>
      <c r="R91" s="8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53" t="str">
        <f aca="false">IF(R91="—","—",IF(R91="A","基準輸入",IF(R91="B","情境、相對比較、反轉門檻","探索")))</f>
        <v>情境、相對比較、反轉門檻</v>
      </c>
      <c r="T91" s="54" t="s">
        <v>587</v>
      </c>
      <c r="U91" s="53" t="str">
        <f aca="false">IF(V91=0,"—",LEFT(TEXT(V91,"0"),4)&amp;"-"&amp;MID(TEXT(V91,"0"),5,2)&amp;"-"&amp;RIGHT(TEXT(V91,"0"),2))</f>
        <v>—</v>
      </c>
      <c r="V91" s="82" t="n">
        <f aca="false">MAX(Gov_Map!$AJ$249:$AJ$254,Gov_Map!$AJ$445,Gov_Map!$AJ$447,Gov_Map!$AJ$453,Gov_Map!$AJ$477,Gov_Map!$AJ$479:$AJ$482)</f>
        <v>0</v>
      </c>
      <c r="W91" s="66" t="s">
        <v>2025</v>
      </c>
      <c r="X91" s="104" t="n">
        <f aca="false">IF(ISNUMBER(FIND("上限",S91)),1,0)</f>
        <v>0</v>
      </c>
      <c r="Y91" s="104" t="n">
        <v>0</v>
      </c>
    </row>
    <row r="92" customFormat="false" ht="15" hidden="false" customHeight="true" outlineLevel="0" collapsed="false">
      <c r="A92" s="35" t="s">
        <v>2026</v>
      </c>
      <c r="C92" s="185" t="str">
        <f aca="false">Price_Frontier!C26</f>
        <v>GPT-6 Luna</v>
      </c>
      <c r="R92" s="8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53" t="str">
        <f aca="false">IF(R92="—","—",IF(R92="A","基準輸入",IF(R92="B","情境、相對比較、反轉門檻","探索")))</f>
        <v>情境、相對比較、反轉門檻</v>
      </c>
      <c r="T92" s="54" t="s">
        <v>587</v>
      </c>
      <c r="U92" s="53" t="str">
        <f aca="false">IF(V92=0,"—",LEFT(TEXT(V92,"0"),4)&amp;"-"&amp;MID(TEXT(V92,"0"),5,2)&amp;"-"&amp;RIGHT(TEXT(V92,"0"),2))</f>
        <v>—</v>
      </c>
      <c r="V92" s="82" t="n">
        <f aca="false">MAX(Gov_Map!$AJ$249:$AJ$254,Gov_Map!$AJ$447,Gov_Map!$AJ$453,Gov_Map!$AJ$477,Gov_Map!$AJ$479:$AJ$482)</f>
        <v>0</v>
      </c>
      <c r="W92" s="66" t="s">
        <v>2027</v>
      </c>
      <c r="X92" s="104" t="n">
        <f aca="false">IF(ISNUMBER(FIND("上限",S92)),1,0)</f>
        <v>0</v>
      </c>
      <c r="Y92" s="104" t="n">
        <v>0</v>
      </c>
    </row>
    <row r="93" customFormat="false" ht="15" hidden="false" customHeight="true" outlineLevel="0" collapsed="false">
      <c r="A93" s="35" t="s">
        <v>2028</v>
      </c>
      <c r="B93" s="35" t="s">
        <v>1134</v>
      </c>
      <c r="C93" s="186" t="n">
        <f aca="false">INDEX(B4_Life,1,1)</f>
        <v>12</v>
      </c>
      <c r="R93" s="85" t="str">
        <f aca="false">IF(SUM(Gov_Map!$AG$454)&gt;0,"C",IF(SUM(Gov_Map!$AH$454)&gt;0,"B","A"))</f>
        <v>A</v>
      </c>
      <c r="S93" s="53" t="str">
        <f aca="false">IF(R93="—","—",IF(R93="A","基準輸入",IF(R93="B","情境、相對比較、反轉門檻","探索")))</f>
        <v>基準輸入</v>
      </c>
      <c r="T93" s="54" t="s">
        <v>587</v>
      </c>
      <c r="U93" s="53" t="str">
        <f aca="false">IF(V93=0,"—",LEFT(TEXT(V93,"0"),4)&amp;"-"&amp;MID(TEXT(V93,"0"),5,2)&amp;"-"&amp;RIGHT(TEXT(V93,"0"),2))</f>
        <v>—</v>
      </c>
      <c r="V93" s="82" t="n">
        <f aca="false">MAX(Gov_Map!$AJ$454)</f>
        <v>0</v>
      </c>
      <c r="W93" s="66" t="s">
        <v>2014</v>
      </c>
      <c r="X93" s="104" t="n">
        <f aca="false">IF(ISNUMBER(FIND("上限",S93)),1,0)</f>
        <v>0</v>
      </c>
      <c r="Y93" s="104" t="n">
        <v>0</v>
      </c>
    </row>
    <row r="94" customFormat="false" ht="15" hidden="false" customHeight="true" outlineLevel="0" collapsed="false">
      <c r="A94" s="35" t="s">
        <v>2029</v>
      </c>
      <c r="B94" s="36" t="s">
        <v>774</v>
      </c>
      <c r="C94" s="187" t="n">
        <f aca="false">Cache_Store!C17</f>
        <v>1.32943302891933E-005</v>
      </c>
      <c r="D94" s="187" t="n">
        <f aca="false">Cache_Store!D17</f>
        <v>1.32943302891933E-005</v>
      </c>
      <c r="E94" s="187" t="n">
        <f aca="false">Cache_Store!E17</f>
        <v>1.32943302891933E-005</v>
      </c>
      <c r="F94" s="187" t="n">
        <f aca="false">Cache_Store!F17</f>
        <v>1.32943302891933E-005</v>
      </c>
      <c r="G94" s="187" t="n">
        <f aca="false">Cache_Store!G17</f>
        <v>1.32943302891933E-005</v>
      </c>
      <c r="H94" s="187" t="n">
        <f aca="false">Cache_Store!H17</f>
        <v>1.32943302891933E-005</v>
      </c>
      <c r="I94" s="187" t="n">
        <f aca="false">Cache_Store!I17</f>
        <v>1.32943302891933E-005</v>
      </c>
      <c r="J94" s="187" t="n">
        <f aca="false">Cache_Store!J17</f>
        <v>1.32943302891933E-005</v>
      </c>
      <c r="K94" s="187" t="n">
        <f aca="false">Cache_Store!K17</f>
        <v>1.32943302891933E-005</v>
      </c>
      <c r="L94" s="187" t="n">
        <f aca="false">Cache_Store!L17</f>
        <v>1.32943302891933E-005</v>
      </c>
      <c r="M94" s="187" t="n">
        <f aca="false">Cache_Store!M17</f>
        <v>1.32943302891933E-005</v>
      </c>
      <c r="N94" s="187" t="n">
        <f aca="false">Cache_Store!N17</f>
        <v>1.32943302891933E-005</v>
      </c>
      <c r="O94" s="187" t="n">
        <f aca="false">Cache_Store!O17</f>
        <v>1.32943302891933E-005</v>
      </c>
      <c r="P94" s="187" t="n">
        <f aca="false">Cache_Store!P17</f>
        <v>1.32943302891933E-005</v>
      </c>
      <c r="Q94" s="187" t="n">
        <f aca="false">Cache_Store!Q17</f>
        <v>1.32943302891933E-005</v>
      </c>
      <c r="R94" s="85" t="str">
        <f aca="false">IF(SUM(Gov_Map!$AG$5:$AG$103,Gov_Map!$AG$114:$AG$118,Gov_Map!$AG$183,Gov_Map!$AG$222,Gov_Map!$AG$225,Gov_Map!$AG$228,Gov_Map!$AG$463,Gov_Map!$AG$465,Gov_Map!$AG$467,Gov_Map!$AG$469,Gov_Map!$AG$471,Gov_Map!$AG$473,Gov_Map!$AG$475,Gov_Map!$AG$574)&gt;0,"C",IF(SUM(Gov_Map!$AH$5:$AH$103,Gov_Map!$AH$114:$AH$118,Gov_Map!$AH$183,Gov_Map!$AH$222,Gov_Map!$AH$225,Gov_Map!$AH$228,Gov_Map!$AH$463,Gov_Map!$AH$465,Gov_Map!$AH$467,Gov_Map!$AH$469,Gov_Map!$AH$471,Gov_Map!$AH$473,Gov_Map!$AH$475,Gov_Map!$AH$574)&gt;0,"B","A"))</f>
        <v>B</v>
      </c>
      <c r="S94" s="53" t="str">
        <f aca="false">IF(R94="—","—",IF(R94="A","基準輸入",IF(R94="B","情境、相對比較、反轉門檻","探索")))</f>
        <v>情境、相對比較、反轉門檻</v>
      </c>
      <c r="T94" s="54" t="s">
        <v>587</v>
      </c>
      <c r="U94" s="53" t="str">
        <f aca="false">IF(V94=0,"—",LEFT(TEXT(V94,"0"),4)&amp;"-"&amp;MID(TEXT(V94,"0"),5,2)&amp;"-"&amp;RIGHT(TEXT(V94,"0"),2))</f>
        <v>2026-10-05</v>
      </c>
      <c r="V94" s="82" t="n">
        <f aca="false">MAX(Gov_Map!$AJ$5:$AJ$103,Gov_Map!$AJ$114:$AJ$118,Gov_Map!$AJ$183,Gov_Map!$AJ$222,Gov_Map!$AJ$225,Gov_Map!$AJ$228,Gov_Map!$AJ$463,Gov_Map!$AJ$465,Gov_Map!$AJ$467,Gov_Map!$AJ$469,Gov_Map!$AJ$471,Gov_Map!$AJ$473,Gov_Map!$AJ$475,Gov_Map!$AJ$574)</f>
        <v>20261005</v>
      </c>
      <c r="W94" s="66" t="s">
        <v>2030</v>
      </c>
      <c r="X94" s="104" t="n">
        <f aca="false">IF(ISNUMBER(FIND("上限",S94)),1,0)</f>
        <v>0</v>
      </c>
      <c r="Y94" s="104" t="n">
        <v>0</v>
      </c>
    </row>
    <row r="95" customFormat="false" ht="15" hidden="false" customHeight="true" outlineLevel="0" collapsed="false">
      <c r="A95" s="35" t="s">
        <v>2031</v>
      </c>
      <c r="B95" s="36" t="s">
        <v>774</v>
      </c>
      <c r="C95" s="187" t="n">
        <f aca="false">Amortize!C13</f>
        <v>0.00827712249384378</v>
      </c>
      <c r="D95" s="187" t="n">
        <f aca="false">Amortize!D13</f>
        <v>0.011937659616069</v>
      </c>
      <c r="E95" s="187" t="n">
        <f aca="false">Amortize!E13</f>
        <v>0.0205814959290211</v>
      </c>
      <c r="F95" s="187" t="n">
        <f aca="false">Amortize!F13</f>
        <v>0.000765657663895297</v>
      </c>
      <c r="G95" s="187" t="n">
        <f aca="false">Amortize!G13</f>
        <v>0.00103062682024325</v>
      </c>
      <c r="H95" s="187" t="n">
        <f aca="false">Amortize!H13</f>
        <v>0.00167669958312219</v>
      </c>
      <c r="I95" s="187" t="n">
        <f aca="false">Amortize!I13</f>
        <v>0.000598840897771404</v>
      </c>
      <c r="J95" s="187" t="n">
        <f aca="false">Amortize!J13</f>
        <v>0.000875121919977013</v>
      </c>
      <c r="K95" s="187" t="n">
        <f aca="false">Amortize!K13</f>
        <v>0.00164174558426417</v>
      </c>
      <c r="L95" s="187" t="n">
        <f aca="false">Amortize!L13</f>
        <v>0.000292417363804563</v>
      </c>
      <c r="M95" s="187" t="n">
        <f aca="false">Amortize!M13</f>
        <v>0.000379379504169864</v>
      </c>
      <c r="N95" s="187" t="n">
        <f aca="false">Amortize!N13</f>
        <v>0.00061470252422902</v>
      </c>
      <c r="O95" s="187" t="n">
        <f aca="false">Amortize!O13</f>
        <v>0.000147693950614538</v>
      </c>
      <c r="P95" s="187" t="n">
        <f aca="false">Amortize!P13</f>
        <v>0.000227067229145128</v>
      </c>
      <c r="Q95" s="187" t="n">
        <f aca="false">Amortize!Q13</f>
        <v>0.000416204353518665</v>
      </c>
      <c r="R95" s="8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$599)&gt;0,"B","A"))</f>
        <v>B</v>
      </c>
      <c r="S95" s="53" t="str">
        <f aca="false">IF(R95="—","—",IF(R95="A","基準輸入",IF(R95="B","情境、相對比較、反轉門檻","探索")))</f>
        <v>情境、相對比較、反轉門檻</v>
      </c>
      <c r="T95" s="54" t="s">
        <v>587</v>
      </c>
      <c r="U95" s="53" t="str">
        <f aca="false">IF(V95=0,"—",LEFT(TEXT(V95,"0"),4)&amp;"-"&amp;MID(TEXT(V95,"0"),5,2)&amp;"-"&amp;RIGHT(TEXT(V95,"0"),2))</f>
        <v>2026-10-05</v>
      </c>
      <c r="V95" s="8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$599)</f>
        <v>20261005</v>
      </c>
      <c r="W95" s="66" t="s">
        <v>2032</v>
      </c>
      <c r="X95" s="104" t="n">
        <f aca="false">IF(ISNUMBER(FIND("上限",S95)),1,0)</f>
        <v>0</v>
      </c>
      <c r="Y95" s="104" t="n">
        <v>0</v>
      </c>
    </row>
    <row r="96" customFormat="false" ht="15" hidden="false" customHeight="true" outlineLevel="0" collapsed="false">
      <c r="A96" s="35" t="s">
        <v>2033</v>
      </c>
      <c r="B96" s="36" t="s">
        <v>774</v>
      </c>
      <c r="C96" s="176" t="n">
        <f aca="false">Amortize!C15</f>
        <v>0.179953873392506</v>
      </c>
      <c r="D96" s="176" t="n">
        <f aca="false">Amortize!D15</f>
        <v>0.259531138736387</v>
      </c>
      <c r="E96" s="176" t="n">
        <f aca="false">Amortize!E15</f>
        <v>0.447441500767285</v>
      </c>
      <c r="F96" s="176" t="n">
        <f aca="false">Amortize!F15</f>
        <v>0.0386924763046809</v>
      </c>
      <c r="G96" s="176" t="n">
        <f aca="false">Amortize!G15</f>
        <v>0.0520772864067124</v>
      </c>
      <c r="H96" s="176" t="n">
        <f aca="false">Amortize!H15</f>
        <v>0.0847133915384122</v>
      </c>
      <c r="I96" s="176" t="n">
        <f aca="false">Amortize!I15</f>
        <v>0.0339741539925062</v>
      </c>
      <c r="J96" s="176" t="n">
        <f aca="false">Amortize!J15</f>
        <v>0.0496412657893722</v>
      </c>
      <c r="K96" s="176" t="n">
        <f aca="false">Amortize!K15</f>
        <v>0.0931143156522453</v>
      </c>
      <c r="L96" s="176" t="n">
        <f aca="false">Amortize!L15</f>
        <v>0.0260115376342282</v>
      </c>
      <c r="M96" s="176" t="n">
        <f aca="false">Amortize!M15</f>
        <v>0.0337424855567829</v>
      </c>
      <c r="N96" s="176" t="n">
        <f aca="false">Amortize!N15</f>
        <v>0.0546627389614651</v>
      </c>
      <c r="O96" s="176" t="n">
        <f aca="false">Amortize!O15</f>
        <v>0.0204392169458688</v>
      </c>
      <c r="P96" s="176" t="n">
        <f aca="false">Amortize!P15</f>
        <v>0.0314152276303853</v>
      </c>
      <c r="Q96" s="176" t="n">
        <f aca="false">Amortize!Q15</f>
        <v>0.0575697614532839</v>
      </c>
      <c r="R96" s="8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$578)&gt;0,"B","A"))</f>
        <v>B</v>
      </c>
      <c r="S96" s="53" t="str">
        <f aca="false">IF(R96="—","—",IF(R96="A","基準輸入",IF(R96="B","情境、相對比較、反轉門檻","探索")))</f>
        <v>情境、相對比較、反轉門檻</v>
      </c>
      <c r="T96" s="54" t="s">
        <v>587</v>
      </c>
      <c r="U96" s="53" t="str">
        <f aca="false">IF(V96=0,"—",LEFT(TEXT(V96,"0"),4)&amp;"-"&amp;MID(TEXT(V96,"0"),5,2)&amp;"-"&amp;RIGHT(TEXT(V96,"0"),2))</f>
        <v>2026-10-05</v>
      </c>
      <c r="V96" s="8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$578)</f>
        <v>20261005</v>
      </c>
      <c r="W96" s="66" t="s">
        <v>2034</v>
      </c>
      <c r="X96" s="104" t="n">
        <f aca="false">IF(ISNUMBER(FIND("上限",S96)),1,0)</f>
        <v>0</v>
      </c>
      <c r="Y96" s="104" t="n">
        <v>0</v>
      </c>
    </row>
    <row r="97" customFormat="false" ht="15" hidden="false" customHeight="true" outlineLevel="0" collapsed="false">
      <c r="A97" s="35" t="s">
        <v>2035</v>
      </c>
      <c r="B97" s="36" t="s">
        <v>774</v>
      </c>
      <c r="C97" s="176" t="n">
        <f aca="false">Theory_Rev!C18</f>
        <v>0.133329814173381</v>
      </c>
      <c r="D97" s="176" t="n">
        <f aca="false">Theory_Rev!D18</f>
        <v>0.192289806873558</v>
      </c>
      <c r="E97" s="176" t="n">
        <f aca="false">Theory_Rev!E18</f>
        <v>0.331515420191033</v>
      </c>
      <c r="F97" s="176" t="n">
        <f aca="false">Theory_Rev!F18</f>
        <v>0.0276536496722329</v>
      </c>
      <c r="G97" s="176" t="n">
        <f aca="false">Theory_Rev!G18</f>
        <v>0.0372199275435518</v>
      </c>
      <c r="H97" s="176" t="n">
        <f aca="false">Theory_Rev!H18</f>
        <v>0.0605453276013408</v>
      </c>
      <c r="I97" s="176" t="n">
        <f aca="false">Theory_Rev!I18</f>
        <v>0.0242079987569706</v>
      </c>
      <c r="J97" s="176" t="n">
        <f aca="false">Theory_Rev!J18</f>
        <v>0.0353715947566594</v>
      </c>
      <c r="K97" s="176" t="n">
        <f aca="false">Theory_Rev!K18</f>
        <v>0.0663483039188753</v>
      </c>
      <c r="L97" s="176" t="n">
        <f aca="false">Theory_Rev!L18</f>
        <v>0.018368231651997</v>
      </c>
      <c r="M97" s="176" t="n">
        <f aca="false">Theory_Rev!M18</f>
        <v>0.0238275474334597</v>
      </c>
      <c r="N97" s="176" t="n">
        <f aca="false">Theory_Rev!N18</f>
        <v>0.0386006736669421</v>
      </c>
      <c r="O97" s="176" t="n">
        <f aca="false">Theory_Rev!O18</f>
        <v>0.014351217590964</v>
      </c>
      <c r="P97" s="176" t="n">
        <f aca="false">Theory_Rev!P18</f>
        <v>0.0220579881248366</v>
      </c>
      <c r="Q97" s="176" t="n">
        <f aca="false">Theory_Rev!Q18</f>
        <v>0.0404223097702075</v>
      </c>
      <c r="R97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97" s="53" t="str">
        <f aca="false">IF(R97="—","—",IF(R97="A","基準輸入",IF(R97="B","情境、相對比較、反轉門檻","探索")))</f>
        <v>情境、相對比較、反轉門檻</v>
      </c>
      <c r="T97" s="54" t="s">
        <v>1977</v>
      </c>
      <c r="U97" s="53" t="str">
        <f aca="false">IF(V97=0,"—",LEFT(TEXT(V97,"0"),4)&amp;"-"&amp;MID(TEXT(V97,"0"),5,2)&amp;"-"&amp;RIGHT(TEXT(V97,"0"),2))</f>
        <v>2026-10-05</v>
      </c>
      <c r="V97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97" s="66" t="s">
        <v>2036</v>
      </c>
      <c r="X97" s="104" t="n">
        <f aca="false">IF(ISNUMBER(FIND("上限",S97)),1,0)</f>
        <v>0</v>
      </c>
      <c r="Y97" s="104" t="n">
        <v>0</v>
      </c>
    </row>
    <row r="98" customFormat="false" ht="15" hidden="false" customHeight="true" outlineLevel="0" collapsed="false">
      <c r="A98" s="35" t="s">
        <v>2037</v>
      </c>
      <c r="B98" s="36" t="s">
        <v>774</v>
      </c>
      <c r="C98" s="188" t="n">
        <f aca="false">Amortize!C43</f>
        <v>0.0180725621398525</v>
      </c>
      <c r="D98" s="188" t="n">
        <f aca="false">Amortize!D43</f>
        <v>0.0260645398483557</v>
      </c>
      <c r="E98" s="188" t="n">
        <f aca="false">Amortize!E43</f>
        <v>0.0449364553138847</v>
      </c>
      <c r="F98" s="188" t="n">
        <f aca="false">Amortize!F43</f>
        <v>0.00362791269386975</v>
      </c>
      <c r="G98" s="188" t="n">
        <f aca="false">Amortize!G43</f>
        <v>0.00488298770183101</v>
      </c>
      <c r="H98" s="188" t="n">
        <f aca="false">Amortize!H43</f>
        <v>0.007943229841671</v>
      </c>
      <c r="I98" s="188" t="n">
        <f aca="false">Amortize!I43</f>
        <v>0.00308073018120975</v>
      </c>
      <c r="J98" s="188" t="n">
        <f aca="false">Amortize!J43</f>
        <v>0.0045015398489172</v>
      </c>
      <c r="K98" s="188" t="n">
        <f aca="false">Amortize!K43</f>
        <v>0.00844399780356416</v>
      </c>
      <c r="L98" s="188" t="n">
        <f aca="false">Amortize!L43</f>
        <v>0.00239199381123676</v>
      </c>
      <c r="M98" s="188" t="n">
        <f aca="false">Amortize!M43</f>
        <v>0.00310295656760584</v>
      </c>
      <c r="N98" s="188" t="n">
        <f aca="false">Amortize!N43</f>
        <v>0.00502685014101096</v>
      </c>
      <c r="O98" s="188" t="n">
        <f aca="false">Amortize!O43</f>
        <v>0.00177119246268375</v>
      </c>
      <c r="P98" s="188" t="n">
        <f aca="false">Amortize!P43</f>
        <v>0.00272236950185195</v>
      </c>
      <c r="Q98" s="188" t="n">
        <f aca="false">Amortize!Q43</f>
        <v>0.00498891176001349</v>
      </c>
      <c r="R98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98" s="53" t="str">
        <f aca="false">IF(R98="—","—",IF(R98="A","基準輸入",IF(R98="B","情境、相對比較、反轉門檻","探索")))</f>
        <v>情境、相對比較、反轉門檻</v>
      </c>
      <c r="T98" s="54" t="s">
        <v>587</v>
      </c>
      <c r="U98" s="53" t="str">
        <f aca="false">IF(V98=0,"—",LEFT(TEXT(V98,"0"),4)&amp;"-"&amp;MID(TEXT(V98,"0"),5,2)&amp;"-"&amp;RIGHT(TEXT(V98,"0"),2))</f>
        <v>2026-10-05</v>
      </c>
      <c r="V98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98" s="66" t="s">
        <v>2036</v>
      </c>
      <c r="X98" s="104" t="n">
        <f aca="false">IF(ISNUMBER(FIND("上限",S98)),1,0)</f>
        <v>0</v>
      </c>
      <c r="Y98" s="104" t="n">
        <v>0</v>
      </c>
    </row>
    <row r="99" customFormat="false" ht="15" hidden="false" customHeight="true" outlineLevel="0" collapsed="false">
      <c r="A99" s="35" t="s">
        <v>2038</v>
      </c>
      <c r="B99" s="36" t="s">
        <v>774</v>
      </c>
      <c r="C99" s="187" t="n">
        <f aca="false">Amortize!C44</f>
        <v>0.00807015897508771</v>
      </c>
      <c r="D99" s="187" t="n">
        <f aca="false">Amortize!D44</f>
        <v>0.0116389130971585</v>
      </c>
      <c r="E99" s="187" t="n">
        <f aca="false">Amortize!E44</f>
        <v>0.0200660169462245</v>
      </c>
      <c r="F99" s="187" t="n">
        <f aca="false">Amortize!F44</f>
        <v>0.00171017405577331</v>
      </c>
      <c r="G99" s="187" t="n">
        <f aca="false">Amortize!G44</f>
        <v>0.00230180811584639</v>
      </c>
      <c r="H99" s="187" t="n">
        <f aca="false">Amortize!H44</f>
        <v>0.00374438602594382</v>
      </c>
      <c r="I99" s="187" t="n">
        <f aca="false">Amortize!I44</f>
        <v>0.00153234517249265</v>
      </c>
      <c r="J99" s="187" t="n">
        <f aca="false">Amortize!J44</f>
        <v>0.00223905128022698</v>
      </c>
      <c r="K99" s="187" t="n">
        <f aca="false">Amortize!K44</f>
        <v>0.00420001704457907</v>
      </c>
      <c r="L99" s="187" t="n">
        <f aca="false">Amortize!L44</f>
        <v>0.00110260862382111</v>
      </c>
      <c r="M99" s="187" t="n">
        <f aca="false">Amortize!M44</f>
        <v>0.00143033257641063</v>
      </c>
      <c r="N99" s="187" t="n">
        <f aca="false">Amortize!N44</f>
        <v>0.00231716666242931</v>
      </c>
      <c r="O99" s="187" t="n">
        <f aca="false">Amortize!O44</f>
        <v>0.000854034926349857</v>
      </c>
      <c r="P99" s="187" t="n">
        <f aca="false">Amortize!P44</f>
        <v>0.00131267419323157</v>
      </c>
      <c r="Q99" s="187" t="n">
        <f aca="false">Amortize!Q44</f>
        <v>0.00240555726003551</v>
      </c>
      <c r="R99" s="8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$578)&gt;0,"B","A"))</f>
        <v>B</v>
      </c>
      <c r="S99" s="53" t="str">
        <f aca="false">IF(R99="—","—",IF(R99="A","基準輸入",IF(R99="B","情境、相對比較、反轉門檻","探索")))</f>
        <v>情境、相對比較、反轉門檻</v>
      </c>
      <c r="T99" s="54" t="s">
        <v>587</v>
      </c>
      <c r="U99" s="53" t="str">
        <f aca="false">IF(V99=0,"—",LEFT(TEXT(V99,"0"),4)&amp;"-"&amp;MID(TEXT(V99,"0"),5,2)&amp;"-"&amp;RIGHT(TEXT(V99,"0"),2))</f>
        <v>2026-10-05</v>
      </c>
      <c r="V99" s="8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$578)</f>
        <v>20261005</v>
      </c>
      <c r="W99" s="66" t="s">
        <v>2039</v>
      </c>
      <c r="X99" s="104" t="n">
        <f aca="false">IF(ISNUMBER(FIND("上限",S99)),1,0)</f>
        <v>0</v>
      </c>
      <c r="Y99" s="104" t="n">
        <v>0</v>
      </c>
    </row>
    <row r="100" customFormat="false" ht="15" hidden="false" customHeight="true" outlineLevel="0" collapsed="false">
      <c r="A100" s="35" t="s">
        <v>2040</v>
      </c>
      <c r="B100" s="36" t="s">
        <v>774</v>
      </c>
      <c r="C100" s="189" t="n">
        <f aca="false">Theory_Rev!C20</f>
        <v>0.14312525381939</v>
      </c>
      <c r="D100" s="189" t="n">
        <f aca="false">Theory_Rev!D20</f>
        <v>0.206416687105845</v>
      </c>
      <c r="E100" s="189" t="n">
        <f aca="false">Theory_Rev!E20</f>
        <v>0.355870379575896</v>
      </c>
      <c r="F100" s="189" t="n">
        <f aca="false">Theory_Rev!F20</f>
        <v>0.0305159047022073</v>
      </c>
      <c r="G100" s="189" t="n">
        <f aca="false">Theory_Rev!G20</f>
        <v>0.0410722884251396</v>
      </c>
      <c r="H100" s="189" t="n">
        <f aca="false">Theory_Rev!H20</f>
        <v>0.0668118578598896</v>
      </c>
      <c r="I100" s="189" t="n">
        <f aca="false">Theory_Rev!I20</f>
        <v>0.026689888040409</v>
      </c>
      <c r="J100" s="189" t="n">
        <f aca="false">Theory_Rev!J20</f>
        <v>0.0389980126855996</v>
      </c>
      <c r="K100" s="189" t="n">
        <f aca="false">Theory_Rev!K20</f>
        <v>0.0731505561381752</v>
      </c>
      <c r="L100" s="189" t="n">
        <f aca="false">Theory_Rev!L20</f>
        <v>0.0204678080994292</v>
      </c>
      <c r="M100" s="189" t="n">
        <f aca="false">Theory_Rev!M20</f>
        <v>0.0265511244968956</v>
      </c>
      <c r="N100" s="189" t="n">
        <f aca="false">Theory_Rev!N20</f>
        <v>0.043012821283724</v>
      </c>
      <c r="O100" s="189" t="n">
        <f aca="false">Theory_Rev!O20</f>
        <v>0.0159747161030332</v>
      </c>
      <c r="P100" s="189" t="n">
        <f aca="false">Theory_Rev!P20</f>
        <v>0.0245532903975434</v>
      </c>
      <c r="Q100" s="189" t="n">
        <f aca="false">Theory_Rev!Q20</f>
        <v>0.0449950171767023</v>
      </c>
      <c r="R100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00" s="53" t="str">
        <f aca="false">IF(R100="—","—",IF(R100="A","基準輸入",IF(R100="B","情境、相對比較、反轉門檻","探索")))</f>
        <v>情境、相對比較、反轉門檻</v>
      </c>
      <c r="T100" s="54" t="s">
        <v>1977</v>
      </c>
      <c r="U100" s="53" t="str">
        <f aca="false">IF(V100=0,"—",LEFT(TEXT(V100,"0"),4)&amp;"-"&amp;MID(TEXT(V100,"0"),5,2)&amp;"-"&amp;RIGHT(TEXT(V100,"0"),2))</f>
        <v>2026-10-05</v>
      </c>
      <c r="V100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00" s="66" t="s">
        <v>2036</v>
      </c>
      <c r="X100" s="104" t="n">
        <f aca="false">IF(ISNUMBER(FIND("上限",S100)),1,0)</f>
        <v>0</v>
      </c>
      <c r="Y100" s="104" t="n">
        <v>0</v>
      </c>
    </row>
    <row r="101" customFormat="false" ht="15" hidden="false" customHeight="true" outlineLevel="0" collapsed="false">
      <c r="A101" s="35" t="s">
        <v>2041</v>
      </c>
      <c r="B101" s="36" t="s">
        <v>1371</v>
      </c>
      <c r="C101" s="190" t="n">
        <f aca="false">Theory_Rev!C11</f>
        <v>3.57102907624799</v>
      </c>
      <c r="D101" s="190" t="n">
        <f aca="false">Theory_Rev!D11</f>
        <v>3.57102907624799</v>
      </c>
      <c r="E101" s="190" t="n">
        <f aca="false">Theory_Rev!E11</f>
        <v>3.57102907624799</v>
      </c>
      <c r="F101" s="190" t="n">
        <f aca="false">Theory_Rev!F11</f>
        <v>17.4680230535144</v>
      </c>
      <c r="G101" s="190" t="n">
        <f aca="false">Theory_Rev!G11</f>
        <v>17.4680230535144</v>
      </c>
      <c r="H101" s="190" t="n">
        <f aca="false">Theory_Rev!H11</f>
        <v>17.4680230535144</v>
      </c>
      <c r="I101" s="190" t="n">
        <f aca="false">Theory_Rev!I11</f>
        <v>25.4312759220773</v>
      </c>
      <c r="J101" s="190" t="n">
        <f aca="false">Theory_Rev!J11</f>
        <v>25.4312759220773</v>
      </c>
      <c r="K101" s="190" t="n">
        <f aca="false">Theory_Rev!K11</f>
        <v>25.4312759220773</v>
      </c>
      <c r="L101" s="190" t="n">
        <f aca="false">Theory_Rev!L11</f>
        <v>37.2582226398973</v>
      </c>
      <c r="M101" s="190" t="n">
        <f aca="false">Theory_Rev!M11</f>
        <v>37.2582226398973</v>
      </c>
      <c r="N101" s="190" t="n">
        <f aca="false">Theory_Rev!N11</f>
        <v>37.2582226398973</v>
      </c>
      <c r="O101" s="190" t="n">
        <f aca="false">Theory_Rev!O11</f>
        <v>50.3527379522069</v>
      </c>
      <c r="P101" s="190" t="n">
        <f aca="false">Theory_Rev!P11</f>
        <v>50.3527379522069</v>
      </c>
      <c r="Q101" s="190" t="n">
        <f aca="false">Theory_Rev!Q11</f>
        <v>50.3527379522069</v>
      </c>
      <c r="R101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53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54" t="s">
        <v>1977</v>
      </c>
      <c r="U101" s="53" t="str">
        <f aca="false">IF(V101=0,"—",LEFT(TEXT(V101,"0"),4)&amp;"-"&amp;MID(TEXT(V101,"0"),5,2)&amp;"-"&amp;RIGHT(TEXT(V101,"0"),2))</f>
        <v>2026-10-05</v>
      </c>
      <c r="V101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66" t="s">
        <v>2042</v>
      </c>
      <c r="X101" s="104" t="n">
        <f aca="false">IF(ISNUMBER(FIND("上限",S101)),1,0)</f>
        <v>1</v>
      </c>
      <c r="Y101" s="104" t="n">
        <v>1</v>
      </c>
    </row>
    <row r="102" customFormat="false" ht="15" hidden="false" customHeight="true" outlineLevel="0" collapsed="false">
      <c r="A102" s="35" t="s">
        <v>2043</v>
      </c>
      <c r="B102" s="36" t="s">
        <v>1371</v>
      </c>
      <c r="C102" s="178" t="n">
        <f aca="false">Theory_Rev!C12</f>
        <v>3.57102907624799</v>
      </c>
      <c r="D102" s="178" t="n">
        <f aca="false">Theory_Rev!D12</f>
        <v>3.57102907624799</v>
      </c>
      <c r="E102" s="178" t="n">
        <f aca="false">Theory_Rev!E12</f>
        <v>3.57102907624799</v>
      </c>
      <c r="F102" s="178" t="n">
        <f aca="false">Theory_Rev!F12</f>
        <v>17.4680230535144</v>
      </c>
      <c r="G102" s="178" t="n">
        <f aca="false">Theory_Rev!G12</f>
        <v>17.4680230535144</v>
      </c>
      <c r="H102" s="178" t="n">
        <f aca="false">Theory_Rev!H12</f>
        <v>17.4680230535144</v>
      </c>
      <c r="I102" s="178" t="n">
        <f aca="false">Theory_Rev!I12</f>
        <v>25.4312759220773</v>
      </c>
      <c r="J102" s="178" t="n">
        <f aca="false">Theory_Rev!J12</f>
        <v>25.4312759220773</v>
      </c>
      <c r="K102" s="178" t="n">
        <f aca="false">Theory_Rev!K12</f>
        <v>25.4312759220773</v>
      </c>
      <c r="L102" s="178" t="n">
        <f aca="false">Theory_Rev!L12</f>
        <v>37.2582226398973</v>
      </c>
      <c r="M102" s="178" t="n">
        <f aca="false">Theory_Rev!M12</f>
        <v>37.2582226398973</v>
      </c>
      <c r="N102" s="178" t="n">
        <f aca="false">Theory_Rev!N12</f>
        <v>37.2582226398973</v>
      </c>
      <c r="O102" s="178" t="n">
        <f aca="false">Theory_Rev!O12</f>
        <v>50.3527379522069</v>
      </c>
      <c r="P102" s="178" t="n">
        <f aca="false">Theory_Rev!P12</f>
        <v>50.3527379522069</v>
      </c>
      <c r="Q102" s="178" t="n">
        <f aca="false">Theory_Rev!Q12</f>
        <v>50.3527379522069</v>
      </c>
      <c r="R102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53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54" t="s">
        <v>1977</v>
      </c>
      <c r="U102" s="53" t="str">
        <f aca="false">IF(V102=0,"—",LEFT(TEXT(V102,"0"),4)&amp;"-"&amp;MID(TEXT(V102,"0"),5,2)&amp;"-"&amp;RIGHT(TEXT(V102,"0"),2))</f>
        <v>2026-10-05</v>
      </c>
      <c r="V102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66" t="s">
        <v>2044</v>
      </c>
      <c r="X102" s="104" t="n">
        <f aca="false">IF(ISNUMBER(FIND("上限",S102)),1,0)</f>
        <v>1</v>
      </c>
      <c r="Y102" s="104" t="n">
        <v>1</v>
      </c>
    </row>
    <row r="103" customFormat="false" ht="15" hidden="false" customHeight="true" outlineLevel="0" collapsed="false">
      <c r="A103" s="8" t="s">
        <v>228</v>
      </c>
      <c r="B103" s="191"/>
      <c r="C103" s="38"/>
    </row>
    <row r="104" customFormat="false" ht="15" hidden="false" customHeight="true" outlineLevel="0" collapsed="false">
      <c r="A104" s="35" t="s">
        <v>2045</v>
      </c>
      <c r="B104" s="36" t="s">
        <v>774</v>
      </c>
      <c r="C104" s="38" t="n">
        <f aca="false">Price_Frontier!D41</f>
        <v>1.6</v>
      </c>
      <c r="R104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53" t="str">
        <f aca="false">IF(R104="—","—",IF(R104="A","基準輸入",IF(R104="B","情境、相對比較、反轉門檻","探索")))</f>
        <v>基準輸入</v>
      </c>
      <c r="T104" s="54" t="s">
        <v>587</v>
      </c>
      <c r="U104" s="53" t="str">
        <f aca="false">IF(V104=0,"—",LEFT(TEXT(V104,"0"),4)&amp;"-"&amp;MID(TEXT(V104,"0"),5,2)&amp;"-"&amp;RIGHT(TEXT(V104,"0"),2))</f>
        <v>—</v>
      </c>
      <c r="V104" s="82" t="n">
        <f aca="false">MAX(Gov_Map!$AJ$445,Gov_Map!$AJ$449,Gov_Map!$AJ$451,Gov_Map!$AJ$510:$AJ$518,Gov_Map!$AJ$521:$AJ$522)</f>
        <v>0</v>
      </c>
      <c r="W104" s="66" t="s">
        <v>2018</v>
      </c>
      <c r="X104" s="104" t="n">
        <f aca="false">IF(ISNUMBER(FIND("上限",S104)),1,0)</f>
        <v>0</v>
      </c>
      <c r="Y104" s="104" t="n">
        <v>0</v>
      </c>
    </row>
    <row r="105" customFormat="false" ht="15" hidden="false" customHeight="true" outlineLevel="0" collapsed="false">
      <c r="A105" s="35" t="s">
        <v>2046</v>
      </c>
      <c r="B105" s="36" t="s">
        <v>774</v>
      </c>
      <c r="C105" s="38" t="n">
        <f aca="false">Price_Frontier!D42</f>
        <v>0.16</v>
      </c>
      <c r="R105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53" t="str">
        <f aca="false">IF(R105="—","—",IF(R105="A","基準輸入",IF(R105="B","情境、相對比較、反轉門檻","探索")))</f>
        <v>基準輸入</v>
      </c>
      <c r="T105" s="54" t="s">
        <v>587</v>
      </c>
      <c r="U105" s="53" t="str">
        <f aca="false">IF(V105=0,"—",LEFT(TEXT(V105,"0"),4)&amp;"-"&amp;MID(TEXT(V105,"0"),5,2)&amp;"-"&amp;RIGHT(TEXT(V105,"0"),2))</f>
        <v>—</v>
      </c>
      <c r="V105" s="82" t="n">
        <f aca="false">MAX(Gov_Map!$AJ$445,Gov_Map!$AJ$449,Gov_Map!$AJ$451,Gov_Map!$AJ$510:$AJ$518,Gov_Map!$AJ$521:$AJ$522)</f>
        <v>0</v>
      </c>
      <c r="W105" s="66" t="s">
        <v>2018</v>
      </c>
      <c r="X105" s="104" t="n">
        <f aca="false">IF(ISNUMBER(FIND("上限",S105)),1,0)</f>
        <v>0</v>
      </c>
      <c r="Y105" s="104" t="n">
        <v>0</v>
      </c>
    </row>
    <row r="106" customFormat="false" ht="15" hidden="false" customHeight="true" outlineLevel="0" collapsed="false">
      <c r="A106" s="35" t="s">
        <v>2047</v>
      </c>
      <c r="B106" s="36" t="s">
        <v>774</v>
      </c>
      <c r="C106" s="38" t="n">
        <f aca="false">Price_Frontier!D43</f>
        <v>8</v>
      </c>
      <c r="R106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53" t="str">
        <f aca="false">IF(R106="—","—",IF(R106="A","基準輸入",IF(R106="B","情境、相對比較、反轉門檻","探索")))</f>
        <v>基準輸入</v>
      </c>
      <c r="T106" s="54" t="s">
        <v>587</v>
      </c>
      <c r="U106" s="53" t="str">
        <f aca="false">IF(V106=0,"—",LEFT(TEXT(V106,"0"),4)&amp;"-"&amp;MID(TEXT(V106,"0"),5,2)&amp;"-"&amp;RIGHT(TEXT(V106,"0"),2))</f>
        <v>—</v>
      </c>
      <c r="V106" s="82" t="n">
        <f aca="false">MAX(Gov_Map!$AJ$445,Gov_Map!$AJ$449,Gov_Map!$AJ$451,Gov_Map!$AJ$510:$AJ$518,Gov_Map!$AJ$521:$AJ$522)</f>
        <v>0</v>
      </c>
      <c r="W106" s="66" t="s">
        <v>2018</v>
      </c>
      <c r="X106" s="104" t="n">
        <f aca="false">IF(ISNUMBER(FIND("上限",S106)),1,0)</f>
        <v>0</v>
      </c>
      <c r="Y106" s="104" t="n">
        <v>0</v>
      </c>
    </row>
    <row r="107" customFormat="false" ht="15" hidden="false" customHeight="true" outlineLevel="0" collapsed="false">
      <c r="A107" s="35" t="s">
        <v>2048</v>
      </c>
      <c r="B107" s="36" t="s">
        <v>774</v>
      </c>
      <c r="C107" s="38" t="n">
        <f aca="false">Price_Frontier!D44</f>
        <v>8</v>
      </c>
      <c r="R107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53" t="str">
        <f aca="false">IF(R107="—","—",IF(R107="A","基準輸入",IF(R107="B","情境、相對比較、反轉門檻","探索")))</f>
        <v>基準輸入</v>
      </c>
      <c r="T107" s="54" t="s">
        <v>587</v>
      </c>
      <c r="U107" s="53" t="str">
        <f aca="false">IF(V107=0,"—",LEFT(TEXT(V107,"0"),4)&amp;"-"&amp;MID(TEXT(V107,"0"),5,2)&amp;"-"&amp;RIGHT(TEXT(V107,"0"),2))</f>
        <v>—</v>
      </c>
      <c r="V107" s="82" t="n">
        <f aca="false">MAX(Gov_Map!$AJ$445,Gov_Map!$AJ$449,Gov_Map!$AJ$451,Gov_Map!$AJ$510:$AJ$518,Gov_Map!$AJ$521:$AJ$522)</f>
        <v>0</v>
      </c>
      <c r="W107" s="66" t="s">
        <v>2018</v>
      </c>
      <c r="X107" s="104" t="n">
        <f aca="false">IF(ISNUMBER(FIND("上限",S107)),1,0)</f>
        <v>0</v>
      </c>
      <c r="Y107" s="104" t="n">
        <v>0</v>
      </c>
    </row>
    <row r="108" customFormat="false" ht="15" hidden="false" customHeight="true" outlineLevel="0" collapsed="false">
      <c r="A108" s="35" t="s">
        <v>2049</v>
      </c>
      <c r="B108" s="36" t="s">
        <v>774</v>
      </c>
      <c r="C108" s="48" t="n">
        <f aca="false">Price_Frontier!D45</f>
        <v>1.60711111111111</v>
      </c>
      <c r="R108" s="8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53" t="str">
        <f aca="false">IF(R108="—","—",IF(R108="A","基準輸入",IF(R108="B","情境、相對比較、反轉門檻","探索")))</f>
        <v>情境、相對比較、反轉門檻</v>
      </c>
      <c r="T108" s="54" t="s">
        <v>587</v>
      </c>
      <c r="U108" s="53" t="str">
        <f aca="false">IF(V108=0,"—",LEFT(TEXT(V108,"0"),4)&amp;"-"&amp;MID(TEXT(V108,"0"),5,2)&amp;"-"&amp;RIGHT(TEXT(V108,"0"),2))</f>
        <v>—</v>
      </c>
      <c r="V108" s="82" t="n">
        <f aca="false">MAX(Gov_Map!$AJ$249:$AJ$254,Gov_Map!$AJ$445,Gov_Map!$AJ$447,Gov_Map!$AJ$449,Gov_Map!$AJ$451,Gov_Map!$AJ$510:$AJ$518,Gov_Map!$AJ$521:$AJ$522)</f>
        <v>0</v>
      </c>
      <c r="W108" s="66" t="s">
        <v>2023</v>
      </c>
      <c r="X108" s="104" t="n">
        <f aca="false">IF(ISNUMBER(FIND("上限",S108)),1,0)</f>
        <v>0</v>
      </c>
      <c r="Y108" s="104" t="n">
        <v>0</v>
      </c>
    </row>
    <row r="109" customFormat="false" ht="15" hidden="false" customHeight="true" outlineLevel="0" collapsed="false">
      <c r="A109" s="35" t="s">
        <v>2050</v>
      </c>
      <c r="B109" s="36" t="s">
        <v>774</v>
      </c>
      <c r="C109" s="38" t="n">
        <f aca="false">Price_Frontier!D46</f>
        <v>1.60711111111111</v>
      </c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8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53" t="str">
        <f aca="false">IF(R109="—","—",IF(R109="A","基準輸入",IF(R109="B","情境、相對比較、反轉門檻","探索")))</f>
        <v>情境、相對比較、反轉門檻</v>
      </c>
      <c r="T109" s="54" t="s">
        <v>587</v>
      </c>
      <c r="U109" s="53" t="str">
        <f aca="false">IF(V109=0,"—",LEFT(TEXT(V109,"0"),4)&amp;"-"&amp;MID(TEXT(V109,"0"),5,2)&amp;"-"&amp;RIGHT(TEXT(V109,"0"),2))</f>
        <v>—</v>
      </c>
      <c r="V109" s="82" t="n">
        <f aca="false">MAX(Gov_Map!$AJ$249:$AJ$254,Gov_Map!$AJ$445,Gov_Map!$AJ$447,Gov_Map!$AJ$453,Gov_Map!$AJ$477,Gov_Map!$AJ$479:$AJ$482)</f>
        <v>0</v>
      </c>
      <c r="W109" s="66" t="s">
        <v>2025</v>
      </c>
      <c r="X109" s="104" t="n">
        <f aca="false">IF(ISNUMBER(FIND("上限",S109)),1,0)</f>
        <v>0</v>
      </c>
      <c r="Y109" s="104" t="n">
        <v>0</v>
      </c>
    </row>
    <row r="110" customFormat="false" ht="15" hidden="false" customHeight="true" outlineLevel="0" collapsed="false">
      <c r="A110" s="35" t="s">
        <v>2051</v>
      </c>
      <c r="B110" s="191"/>
      <c r="C110" s="187" t="str">
        <f aca="false">Price_Frontier!D26</f>
        <v>GPT-6 Sol</v>
      </c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8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53" t="str">
        <f aca="false">IF(R110="—","—",IF(R110="A","基準輸入",IF(R110="B","情境、相對比較、反轉門檻","探索")))</f>
        <v>情境、相對比較、反轉門檻</v>
      </c>
      <c r="T110" s="54" t="s">
        <v>587</v>
      </c>
      <c r="U110" s="53" t="str">
        <f aca="false">IF(V110=0,"—",LEFT(TEXT(V110,"0"),4)&amp;"-"&amp;MID(TEXT(V110,"0"),5,2)&amp;"-"&amp;RIGHT(TEXT(V110,"0"),2))</f>
        <v>—</v>
      </c>
      <c r="V110" s="82" t="n">
        <f aca="false">MAX(Gov_Map!$AJ$249:$AJ$254,Gov_Map!$AJ$447,Gov_Map!$AJ$453,Gov_Map!$AJ$477,Gov_Map!$AJ$479:$AJ$482)</f>
        <v>0</v>
      </c>
      <c r="W110" s="66" t="s">
        <v>2027</v>
      </c>
      <c r="X110" s="104" t="n">
        <f aca="false">IF(ISNUMBER(FIND("上限",S110)),1,0)</f>
        <v>0</v>
      </c>
      <c r="Y110" s="104" t="n">
        <v>0</v>
      </c>
    </row>
    <row r="111" customFormat="false" ht="15" hidden="false" customHeight="true" outlineLevel="0" collapsed="false">
      <c r="A111" s="35" t="s">
        <v>2052</v>
      </c>
      <c r="B111" s="35" t="s">
        <v>1134</v>
      </c>
      <c r="C111" s="186" t="n">
        <f aca="false">INDEX(B4_Life,1,2)</f>
        <v>12</v>
      </c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85" t="str">
        <f aca="false">IF(SUM(Gov_Map!$AG$454)&gt;0,"C",IF(SUM(Gov_Map!$AH$454)&gt;0,"B","A"))</f>
        <v>A</v>
      </c>
      <c r="S111" s="53" t="str">
        <f aca="false">IF(R111="—","—",IF(R111="A","基準輸入",IF(R111="B","情境、相對比較、反轉門檻","探索")))</f>
        <v>基準輸入</v>
      </c>
      <c r="T111" s="54" t="s">
        <v>587</v>
      </c>
      <c r="U111" s="53" t="str">
        <f aca="false">IF(V111=0,"—",LEFT(TEXT(V111,"0"),4)&amp;"-"&amp;MID(TEXT(V111,"0"),5,2)&amp;"-"&amp;RIGHT(TEXT(V111,"0"),2))</f>
        <v>—</v>
      </c>
      <c r="V111" s="82" t="n">
        <f aca="false">MAX(Gov_Map!$AJ$454)</f>
        <v>0</v>
      </c>
      <c r="W111" s="66" t="s">
        <v>2014</v>
      </c>
      <c r="X111" s="104" t="n">
        <f aca="false">IF(ISNUMBER(FIND("上限",S111)),1,0)</f>
        <v>0</v>
      </c>
      <c r="Y111" s="104" t="n">
        <v>0</v>
      </c>
    </row>
    <row r="112" customFormat="false" ht="15" hidden="false" customHeight="true" outlineLevel="0" collapsed="false">
      <c r="A112" s="35" t="s">
        <v>2053</v>
      </c>
      <c r="B112" s="36" t="s">
        <v>774</v>
      </c>
      <c r="C112" s="187" t="n">
        <f aca="false">Cache_Store!C23</f>
        <v>1.8859398782344E-005</v>
      </c>
      <c r="D112" s="187" t="n">
        <f aca="false">Cache_Store!D23</f>
        <v>1.8859398782344E-005</v>
      </c>
      <c r="E112" s="187" t="n">
        <f aca="false">Cache_Store!E23</f>
        <v>1.8859398782344E-005</v>
      </c>
      <c r="F112" s="187" t="n">
        <f aca="false">Cache_Store!F23</f>
        <v>1.8859398782344E-005</v>
      </c>
      <c r="G112" s="187" t="n">
        <f aca="false">Cache_Store!G23</f>
        <v>1.8859398782344E-005</v>
      </c>
      <c r="H112" s="187" t="n">
        <f aca="false">Cache_Store!H23</f>
        <v>1.8859398782344E-005</v>
      </c>
      <c r="I112" s="187" t="n">
        <f aca="false">Cache_Store!I23</f>
        <v>1.8859398782344E-005</v>
      </c>
      <c r="J112" s="187" t="n">
        <f aca="false">Cache_Store!J23</f>
        <v>1.8859398782344E-005</v>
      </c>
      <c r="K112" s="187" t="n">
        <f aca="false">Cache_Store!K23</f>
        <v>1.8859398782344E-005</v>
      </c>
      <c r="L112" s="187" t="n">
        <f aca="false">Cache_Store!L23</f>
        <v>1.8859398782344E-005</v>
      </c>
      <c r="M112" s="187" t="n">
        <f aca="false">Cache_Store!M23</f>
        <v>1.8859398782344E-005</v>
      </c>
      <c r="N112" s="187" t="n">
        <f aca="false">Cache_Store!N23</f>
        <v>1.8859398782344E-005</v>
      </c>
      <c r="O112" s="187" t="n">
        <f aca="false">Cache_Store!O23</f>
        <v>1.8859398782344E-005</v>
      </c>
      <c r="P112" s="187" t="n">
        <f aca="false">Cache_Store!P23</f>
        <v>1.8859398782344E-005</v>
      </c>
      <c r="Q112" s="187" t="n">
        <f aca="false">Cache_Store!Q23</f>
        <v>1.8859398782344E-005</v>
      </c>
      <c r="R112" s="85" t="str">
        <f aca="false">IF(SUM(Gov_Map!$AG$5:$AG$103,Gov_Map!$AG$114:$AG$118,Gov_Map!$AG$184,Gov_Map!$AG$223,Gov_Map!$AG$226,Gov_Map!$AG$229,Gov_Map!$AG$463,Gov_Map!$AG$465,Gov_Map!$AG$467,Gov_Map!$AG$469,Gov_Map!$AG$471,Gov_Map!$AG$473,Gov_Map!$AG$475,Gov_Map!$AG$574)&gt;0,"C",IF(SUM(Gov_Map!$AH$5:$AH$103,Gov_Map!$AH$114:$AH$118,Gov_Map!$AH$184,Gov_Map!$AH$223,Gov_Map!$AH$226,Gov_Map!$AH$229,Gov_Map!$AH$463,Gov_Map!$AH$465,Gov_Map!$AH$467,Gov_Map!$AH$469,Gov_Map!$AH$471,Gov_Map!$AH$473,Gov_Map!$AH$475,Gov_Map!$AH$574)&gt;0,"B","A"))</f>
        <v>B</v>
      </c>
      <c r="S112" s="53" t="str">
        <f aca="false">IF(R112="—","—",IF(R112="A","基準輸入",IF(R112="B","情境、相對比較、反轉門檻","探索")))</f>
        <v>情境、相對比較、反轉門檻</v>
      </c>
      <c r="T112" s="54" t="s">
        <v>587</v>
      </c>
      <c r="U112" s="53" t="str">
        <f aca="false">IF(V112=0,"—",LEFT(TEXT(V112,"0"),4)&amp;"-"&amp;MID(TEXT(V112,"0"),5,2)&amp;"-"&amp;RIGHT(TEXT(V112,"0"),2))</f>
        <v>2026-10-05</v>
      </c>
      <c r="V112" s="82" t="n">
        <f aca="false">MAX(Gov_Map!$AJ$5:$AJ$103,Gov_Map!$AJ$114:$AJ$118,Gov_Map!$AJ$184,Gov_Map!$AJ$223,Gov_Map!$AJ$226,Gov_Map!$AJ$229,Gov_Map!$AJ$463,Gov_Map!$AJ$465,Gov_Map!$AJ$467,Gov_Map!$AJ$469,Gov_Map!$AJ$471,Gov_Map!$AJ$473,Gov_Map!$AJ$475,Gov_Map!$AJ$574)</f>
        <v>20261005</v>
      </c>
      <c r="W112" s="66" t="s">
        <v>2030</v>
      </c>
      <c r="X112" s="104" t="n">
        <f aca="false">IF(ISNUMBER(FIND("上限",S112)),1,0)</f>
        <v>0</v>
      </c>
      <c r="Y112" s="104" t="n">
        <v>0</v>
      </c>
    </row>
    <row r="113" customFormat="false" ht="15" hidden="false" customHeight="true" outlineLevel="0" collapsed="false">
      <c r="A113" s="35" t="s">
        <v>2054</v>
      </c>
      <c r="B113" s="36" t="s">
        <v>774</v>
      </c>
      <c r="C113" s="187" t="n">
        <f aca="false">Amortize!C22</f>
        <v>0.101738122291778</v>
      </c>
      <c r="D113" s="187" t="n">
        <f aca="false">Amortize!D22</f>
        <v>0.146731557349859</v>
      </c>
      <c r="E113" s="187" t="n">
        <f aca="false">Amortize!E22</f>
        <v>0.252977136840958</v>
      </c>
      <c r="F113" s="187" t="n">
        <f aca="false">Amortize!F22</f>
        <v>0.00963802065932426</v>
      </c>
      <c r="G113" s="187" t="n">
        <f aca="false">Amortize!G22</f>
        <v>0.0129734254014029</v>
      </c>
      <c r="H113" s="187" t="n">
        <f aca="false">Amortize!H22</f>
        <v>0.0211061235113842</v>
      </c>
      <c r="I113" s="187" t="n">
        <f aca="false">Amortize!I22</f>
        <v>0.00823722742149252</v>
      </c>
      <c r="J113" s="187" t="n">
        <f aca="false">Amortize!J22</f>
        <v>0.0120375517156739</v>
      </c>
      <c r="K113" s="187" t="n">
        <f aca="false">Amortize!K22</f>
        <v>0.0225826789655528</v>
      </c>
      <c r="L113" s="187" t="n">
        <f aca="false">Amortize!L22</f>
        <v>0.00344822951444708</v>
      </c>
      <c r="M113" s="187" t="n">
        <f aca="false">Amortize!M22</f>
        <v>0.00447370014705813</v>
      </c>
      <c r="N113" s="187" t="n">
        <f aca="false">Amortize!N22</f>
        <v>0.00724866457680086</v>
      </c>
      <c r="O113" s="187" t="n">
        <f aca="false">Amortize!O22</f>
        <v>0.00176605230692287</v>
      </c>
      <c r="P113" s="187" t="n">
        <f aca="false">Amortize!P22</f>
        <v>0.00271515930198745</v>
      </c>
      <c r="Q113" s="187" t="n">
        <f aca="false">Amortize!Q22</f>
        <v>0.00497676889015811</v>
      </c>
      <c r="R113" s="8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$599)&gt;0,"B","A"))</f>
        <v>B</v>
      </c>
      <c r="S113" s="53" t="str">
        <f aca="false">IF(R113="—","—",IF(R113="A","基準輸入",IF(R113="B","情境、相對比較、反轉門檻","探索")))</f>
        <v>情境、相對比較、反轉門檻</v>
      </c>
      <c r="T113" s="54" t="s">
        <v>587</v>
      </c>
      <c r="U113" s="53" t="str">
        <f aca="false">IF(V113=0,"—",LEFT(TEXT(V113,"0"),4)&amp;"-"&amp;MID(TEXT(V113,"0"),5,2)&amp;"-"&amp;RIGHT(TEXT(V113,"0"),2))</f>
        <v>2026-10-05</v>
      </c>
      <c r="V113" s="8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$599)</f>
        <v>20261005</v>
      </c>
      <c r="W113" s="66" t="s">
        <v>2032</v>
      </c>
      <c r="X113" s="104" t="n">
        <f aca="false">IF(ISNUMBER(FIND("上限",S113)),1,0)</f>
        <v>0</v>
      </c>
      <c r="Y113" s="104" t="n">
        <v>0</v>
      </c>
    </row>
    <row r="114" customFormat="false" ht="15" hidden="false" customHeight="true" outlineLevel="0" collapsed="false">
      <c r="A114" s="35" t="s">
        <v>2055</v>
      </c>
      <c r="B114" s="36" t="s">
        <v>774</v>
      </c>
      <c r="C114" s="176" t="n">
        <f aca="false">Amortize!C24</f>
        <v>0.619028584300753</v>
      </c>
      <c r="D114" s="176" t="n">
        <f aca="false">Amortize!D24</f>
        <v>0.892782677879544</v>
      </c>
      <c r="E114" s="176" t="n">
        <f aca="false">Amortize!E24</f>
        <v>1.53921392441127</v>
      </c>
      <c r="F114" s="176" t="n">
        <f aca="false">Amortize!F24</f>
        <v>0.134626443431465</v>
      </c>
      <c r="G114" s="176" t="n">
        <f aca="false">Amortize!G24</f>
        <v>0.181208613844216</v>
      </c>
      <c r="H114" s="176" t="n">
        <f aca="false">Amortize!H24</f>
        <v>0.294789650800622</v>
      </c>
      <c r="I114" s="176" t="n">
        <f aca="false">Amortize!I24</f>
        <v>0.118192844548193</v>
      </c>
      <c r="J114" s="176" t="n">
        <f aca="false">Amortize!J24</f>
        <v>0.172712050778828</v>
      </c>
      <c r="K114" s="176" t="n">
        <f aca="false">Amortize!K24</f>
        <v>0.323991763445636</v>
      </c>
      <c r="L114" s="176" t="n">
        <f aca="false">Amortize!L24</f>
        <v>0.0836413668583142</v>
      </c>
      <c r="M114" s="176" t="n">
        <f aca="false">Amortize!M24</f>
        <v>0.108508936843073</v>
      </c>
      <c r="N114" s="176" t="n">
        <f aca="false">Amortize!N24</f>
        <v>0.175801572992136</v>
      </c>
      <c r="O114" s="176" t="n">
        <f aca="false">Amortize!O24</f>
        <v>0.0643365841669173</v>
      </c>
      <c r="P114" s="176" t="n">
        <f aca="false">Amortize!P24</f>
        <v>0.0989002909601887</v>
      </c>
      <c r="Q114" s="176" t="n">
        <f aca="false">Amortize!Q24</f>
        <v>0.181261511658034</v>
      </c>
      <c r="R114" s="8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$578)&gt;0,"B","A"))</f>
        <v>B</v>
      </c>
      <c r="S114" s="53" t="str">
        <f aca="false">IF(R114="—","—",IF(R114="A","基準輸入",IF(R114="B","情境、相對比較、反轉門檻","探索")))</f>
        <v>情境、相對比較、反轉門檻</v>
      </c>
      <c r="T114" s="54" t="s">
        <v>587</v>
      </c>
      <c r="U114" s="53" t="str">
        <f aca="false">IF(V114=0,"—",LEFT(TEXT(V114,"0"),4)&amp;"-"&amp;MID(TEXT(V114,"0"),5,2)&amp;"-"&amp;RIGHT(TEXT(V114,"0"),2))</f>
        <v>2026-10-05</v>
      </c>
      <c r="V114" s="8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$578)</f>
        <v>20261005</v>
      </c>
      <c r="W114" s="66" t="s">
        <v>2034</v>
      </c>
      <c r="X114" s="104" t="n">
        <f aca="false">IF(ISNUMBER(FIND("上限",S114)),1,0)</f>
        <v>0</v>
      </c>
      <c r="Y114" s="104" t="n">
        <v>0</v>
      </c>
    </row>
    <row r="115" customFormat="false" ht="15" hidden="false" customHeight="true" outlineLevel="0" collapsed="false">
      <c r="A115" s="35" t="s">
        <v>2056</v>
      </c>
      <c r="B115" s="36" t="s">
        <v>774</v>
      </c>
      <c r="C115" s="176" t="n">
        <f aca="false">Theory_Rev!C36</f>
        <v>0.531910528331284</v>
      </c>
      <c r="D115" s="176" t="n">
        <f aca="false">Theory_Rev!D36</f>
        <v>0.767139858927169</v>
      </c>
      <c r="E115" s="176" t="n">
        <f aca="false">Theory_Rev!E36</f>
        <v>1.32260037244879</v>
      </c>
      <c r="F115" s="176" t="n">
        <f aca="false">Theory_Rev!F36</f>
        <v>0.103191989823563</v>
      </c>
      <c r="G115" s="176" t="n">
        <f aca="false">Theory_Rev!G36</f>
        <v>0.138898055360943</v>
      </c>
      <c r="H115" s="176" t="n">
        <f aca="false">Theory_Rev!H36</f>
        <v>0.22595994864402</v>
      </c>
      <c r="I115" s="176" t="n">
        <f aca="false">Theory_Rev!I36</f>
        <v>0.0903712380397286</v>
      </c>
      <c r="J115" s="176" t="n">
        <f aca="false">Theory_Rev!J36</f>
        <v>0.132057790392487</v>
      </c>
      <c r="K115" s="176" t="n">
        <f aca="false">Theory_Rev!K36</f>
        <v>0.247729497631164</v>
      </c>
      <c r="L115" s="176" t="n">
        <f aca="false">Theory_Rev!L36</f>
        <v>0.0615718912295467</v>
      </c>
      <c r="M115" s="176" t="n">
        <f aca="false">Theory_Rev!M36</f>
        <v>0.0798782155803801</v>
      </c>
      <c r="N115" s="176" t="n">
        <f aca="false">Theory_Rev!N36</f>
        <v>0.129415859367946</v>
      </c>
      <c r="O115" s="176" t="n">
        <f aca="false">Theory_Rev!O36</f>
        <v>0.0464745260500349</v>
      </c>
      <c r="P115" s="176" t="n">
        <f aca="false">Theory_Rev!P36</f>
        <v>0.0714424801387287</v>
      </c>
      <c r="Q115" s="176" t="n">
        <f aca="false">Theory_Rev!Q36</f>
        <v>0.130938158347436</v>
      </c>
      <c r="R115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15" s="53" t="str">
        <f aca="false">IF(R115="—","—",IF(R115="A","基準輸入",IF(R115="B","情境、相對比較、反轉門檻","探索")))</f>
        <v>情境、相對比較、反轉門檻</v>
      </c>
      <c r="T115" s="54" t="s">
        <v>1977</v>
      </c>
      <c r="U115" s="53" t="str">
        <f aca="false">IF(V115=0,"—",LEFT(TEXT(V115,"0"),4)&amp;"-"&amp;MID(TEXT(V115,"0"),5,2)&amp;"-"&amp;RIGHT(TEXT(V115,"0"),2))</f>
        <v>2026-10-05</v>
      </c>
      <c r="V115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15" s="66" t="s">
        <v>2036</v>
      </c>
      <c r="X115" s="104" t="n">
        <f aca="false">IF(ISNUMBER(FIND("上限",S115)),1,0)</f>
        <v>0</v>
      </c>
      <c r="Y115" s="104" t="n">
        <v>0</v>
      </c>
    </row>
    <row r="116" customFormat="false" ht="15" hidden="false" customHeight="true" outlineLevel="0" collapsed="false">
      <c r="A116" s="35" t="s">
        <v>2057</v>
      </c>
      <c r="B116" s="36" t="s">
        <v>774</v>
      </c>
      <c r="C116" s="188" t="n">
        <f aca="false">Amortize!C45</f>
        <v>0.222138616225337</v>
      </c>
      <c r="D116" s="188" t="n">
        <f aca="false">Amortize!D45</f>
        <v>0.320371885826652</v>
      </c>
      <c r="E116" s="188" t="n">
        <f aca="false">Amortize!E45</f>
        <v>0.552335741011847</v>
      </c>
      <c r="F116" s="188" t="n">
        <f aca="false">Amortize!F45</f>
        <v>0.0456677953379997</v>
      </c>
      <c r="G116" s="188" t="n">
        <f aca="false">Amortize!G45</f>
        <v>0.0614665516570984</v>
      </c>
      <c r="H116" s="188" t="n">
        <f aca="false">Amortize!H45</f>
        <v>0.099988567901614</v>
      </c>
      <c r="I116" s="188" t="n">
        <f aca="false">Amortize!I45</f>
        <v>0.0423763226949267</v>
      </c>
      <c r="J116" s="188" t="n">
        <f aca="false">Amortize!J45</f>
        <v>0.0619199650866143</v>
      </c>
      <c r="K116" s="188" t="n">
        <f aca="false">Amortize!K45</f>
        <v>0.116149599189688</v>
      </c>
      <c r="L116" s="188" t="n">
        <f aca="false">Amortize!L45</f>
        <v>0.0282067506216696</v>
      </c>
      <c r="M116" s="188" t="n">
        <f aca="false">Amortize!M45</f>
        <v>0.0365905303271149</v>
      </c>
      <c r="N116" s="188" t="n">
        <f aca="false">Amortize!N45</f>
        <v>0.0592773725725857</v>
      </c>
      <c r="O116" s="188" t="n">
        <f aca="false">Amortize!O45</f>
        <v>0.021179056567393</v>
      </c>
      <c r="P116" s="188" t="n">
        <f aca="false">Amortize!P45</f>
        <v>0.0325527682009804</v>
      </c>
      <c r="Q116" s="188" t="n">
        <f aca="false">Amortize!Q45</f>
        <v>0.0596549762948735</v>
      </c>
      <c r="R116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16" s="53" t="str">
        <f aca="false">IF(R116="—","—",IF(R116="A","基準輸入",IF(R116="B","情境、相對比較、反轉門檻","探索")))</f>
        <v>情境、相對比較、反轉門檻</v>
      </c>
      <c r="T116" s="54" t="s">
        <v>587</v>
      </c>
      <c r="U116" s="53" t="str">
        <f aca="false">IF(V116=0,"—",LEFT(TEXT(V116,"0"),4)&amp;"-"&amp;MID(TEXT(V116,"0"),5,2)&amp;"-"&amp;RIGHT(TEXT(V116,"0"),2))</f>
        <v>2026-10-05</v>
      </c>
      <c r="V116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16" s="66" t="s">
        <v>2036</v>
      </c>
      <c r="X116" s="104" t="n">
        <f aca="false">IF(ISNUMBER(FIND("上限",S116)),1,0)</f>
        <v>0</v>
      </c>
      <c r="Y116" s="104" t="n">
        <v>0</v>
      </c>
    </row>
    <row r="117" customFormat="false" ht="15" hidden="false" customHeight="true" outlineLevel="0" collapsed="false">
      <c r="A117" s="35" t="s">
        <v>2058</v>
      </c>
      <c r="B117" s="36" t="s">
        <v>774</v>
      </c>
      <c r="C117" s="187" t="n">
        <f aca="false">Amortize!C46</f>
        <v>0.784158801871672</v>
      </c>
      <c r="D117" s="187" t="n">
        <f aca="false">Amortize!D46</f>
        <v>1.13092643868978</v>
      </c>
      <c r="E117" s="187" t="n">
        <f aca="false">Amortize!E46</f>
        <v>1.94976875368395</v>
      </c>
      <c r="F117" s="187" t="n">
        <f aca="false">Amortize!F46</f>
        <v>0.163739515217464</v>
      </c>
      <c r="G117" s="187" t="n">
        <f aca="false">Amortize!G46</f>
        <v>0.220385137840186</v>
      </c>
      <c r="H117" s="187" t="n">
        <f aca="false">Amortize!H46</f>
        <v>0.358503832171545</v>
      </c>
      <c r="I117" s="187" t="n">
        <f aca="false">Amortize!I46</f>
        <v>0.154367842758916</v>
      </c>
      <c r="J117" s="187" t="n">
        <f aca="false">Amortize!J46</f>
        <v>0.225561134762464</v>
      </c>
      <c r="K117" s="187" t="n">
        <f aca="false">Amortize!K46</f>
        <v>0.423108045341824</v>
      </c>
      <c r="L117" s="187" t="n">
        <f aca="false">Amortize!L46</f>
        <v>0.10043025719765</v>
      </c>
      <c r="M117" s="187" t="n">
        <f aca="false">Amortize!M46</f>
        <v>0.130280740984303</v>
      </c>
      <c r="N117" s="187" t="n">
        <f aca="false">Amortize!N46</f>
        <v>0.211057340610236</v>
      </c>
      <c r="O117" s="187" t="n">
        <f aca="false">Amortize!O46</f>
        <v>0.0762686061538966</v>
      </c>
      <c r="P117" s="187" t="n">
        <f aca="false">Amortize!P46</f>
        <v>0.11722685801605</v>
      </c>
      <c r="Q117" s="187" t="n">
        <f aca="false">Amortize!Q46</f>
        <v>0.21482552245309</v>
      </c>
      <c r="R117" s="8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$578)&gt;0,"B","A"))</f>
        <v>B</v>
      </c>
      <c r="S117" s="53" t="str">
        <f aca="false">IF(R117="—","—",IF(R117="A","基準輸入",IF(R117="B","情境、相對比較、反轉門檻","探索")))</f>
        <v>情境、相對比較、反轉門檻</v>
      </c>
      <c r="T117" s="54" t="s">
        <v>587</v>
      </c>
      <c r="U117" s="53" t="str">
        <f aca="false">IF(V117=0,"—",LEFT(TEXT(V117,"0"),4)&amp;"-"&amp;MID(TEXT(V117,"0"),5,2)&amp;"-"&amp;RIGHT(TEXT(V117,"0"),2))</f>
        <v>2026-10-05</v>
      </c>
      <c r="V117" s="8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$578)</f>
        <v>20261005</v>
      </c>
      <c r="W117" s="66" t="s">
        <v>2039</v>
      </c>
      <c r="X117" s="104" t="n">
        <f aca="false">IF(ISNUMBER(FIND("上限",S117)),1,0)</f>
        <v>0</v>
      </c>
      <c r="Y117" s="104" t="n">
        <v>0</v>
      </c>
    </row>
    <row r="118" customFormat="false" ht="15" hidden="false" customHeight="true" outlineLevel="0" collapsed="false">
      <c r="A118" s="35" t="s">
        <v>2059</v>
      </c>
      <c r="B118" s="36" t="s">
        <v>774</v>
      </c>
      <c r="C118" s="189" t="n">
        <f aca="false">Theory_Rev!C38</f>
        <v>0.652311022264843</v>
      </c>
      <c r="D118" s="189" t="n">
        <f aca="false">Theory_Rev!D38</f>
        <v>0.940780187403963</v>
      </c>
      <c r="E118" s="189" t="n">
        <f aca="false">Theory_Rev!E38</f>
        <v>1.62195897661968</v>
      </c>
      <c r="F118" s="189" t="n">
        <f aca="false">Theory_Rev!F38</f>
        <v>0.139221764502238</v>
      </c>
      <c r="G118" s="189" t="n">
        <f aca="false">Theory_Rev!G38</f>
        <v>0.187391181616638</v>
      </c>
      <c r="H118" s="189" t="n">
        <f aca="false">Theory_Rev!H38</f>
        <v>0.304842393034249</v>
      </c>
      <c r="I118" s="189" t="n">
        <f aca="false">Theory_Rev!I38</f>
        <v>0.124510333313163</v>
      </c>
      <c r="J118" s="189" t="n">
        <f aca="false">Theory_Rev!J38</f>
        <v>0.181940203763427</v>
      </c>
      <c r="K118" s="189" t="n">
        <f aca="false">Theory_Rev!K38</f>
        <v>0.341296417855299</v>
      </c>
      <c r="L118" s="189" t="n">
        <f aca="false">Theory_Rev!L38</f>
        <v>0.0863304123367692</v>
      </c>
      <c r="M118" s="189" t="n">
        <f aca="false">Theory_Rev!M38</f>
        <v>0.111995045760437</v>
      </c>
      <c r="N118" s="189" t="n">
        <f aca="false">Theory_Rev!N38</f>
        <v>0.181444567363731</v>
      </c>
      <c r="O118" s="189" t="n">
        <f aca="false">Theory_Rev!O38</f>
        <v>0.0658875303105049</v>
      </c>
      <c r="P118" s="189" t="n">
        <f aca="false">Theory_Rev!P38</f>
        <v>0.101280089037722</v>
      </c>
      <c r="Q118" s="189" t="n">
        <f aca="false">Theory_Rev!Q38</f>
        <v>0.185616365752151</v>
      </c>
      <c r="R118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18" s="53" t="str">
        <f aca="false">IF(R118="—","—",IF(R118="A","基準輸入",IF(R118="B","情境、相對比較、反轉門檻","探索")))</f>
        <v>情境、相對比較、反轉門檻</v>
      </c>
      <c r="T118" s="54" t="s">
        <v>1977</v>
      </c>
      <c r="U118" s="53" t="str">
        <f aca="false">IF(V118=0,"—",LEFT(TEXT(V118,"0"),4)&amp;"-"&amp;MID(TEXT(V118,"0"),5,2)&amp;"-"&amp;RIGHT(TEXT(V118,"0"),2))</f>
        <v>2026-10-05</v>
      </c>
      <c r="V118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18" s="66" t="s">
        <v>2036</v>
      </c>
      <c r="X118" s="104" t="n">
        <f aca="false">IF(ISNUMBER(FIND("上限",S118)),1,0)</f>
        <v>0</v>
      </c>
      <c r="Y118" s="104" t="n">
        <v>0</v>
      </c>
    </row>
    <row r="119" customFormat="false" ht="15" hidden="false" customHeight="true" outlineLevel="0" collapsed="false">
      <c r="A119" s="35" t="s">
        <v>2060</v>
      </c>
      <c r="B119" s="36" t="s">
        <v>1371</v>
      </c>
      <c r="C119" s="190" t="n">
        <f aca="false">Theory_Rev!C29</f>
        <v>20.7225049979976</v>
      </c>
      <c r="D119" s="190" t="n">
        <f aca="false">Theory_Rev!D29</f>
        <v>20.7225049979976</v>
      </c>
      <c r="E119" s="190" t="n">
        <f aca="false">Theory_Rev!E29</f>
        <v>20.7225049979976</v>
      </c>
      <c r="F119" s="190" t="n">
        <f aca="false">Theory_Rev!F29</f>
        <v>100.404653415384</v>
      </c>
      <c r="G119" s="190" t="n">
        <f aca="false">Theory_Rev!G29</f>
        <v>100.404653415384</v>
      </c>
      <c r="H119" s="190" t="n">
        <f aca="false">Theory_Rev!H29</f>
        <v>100.404653415384</v>
      </c>
      <c r="I119" s="190" t="n">
        <f aca="false">Theory_Rev!I29</f>
        <v>146.176727443319</v>
      </c>
      <c r="J119" s="190" t="n">
        <f aca="false">Theory_Rev!J29</f>
        <v>146.176727443319</v>
      </c>
      <c r="K119" s="190" t="n">
        <f aca="false">Theory_Rev!K29</f>
        <v>146.176727443319</v>
      </c>
      <c r="L119" s="190" t="n">
        <f aca="false">Theory_Rev!L29</f>
        <v>228.808271164193</v>
      </c>
      <c r="M119" s="190" t="n">
        <f aca="false">Theory_Rev!M29</f>
        <v>228.808271164193</v>
      </c>
      <c r="N119" s="190" t="n">
        <f aca="false">Theory_Rev!N29</f>
        <v>228.808271164193</v>
      </c>
      <c r="O119" s="190" t="n">
        <f aca="false">Theory_Rev!O29</f>
        <v>314.529969229019</v>
      </c>
      <c r="P119" s="190" t="n">
        <f aca="false">Theory_Rev!P29</f>
        <v>314.529969229019</v>
      </c>
      <c r="Q119" s="190" t="n">
        <f aca="false">Theory_Rev!Q29</f>
        <v>314.529969229019</v>
      </c>
      <c r="R119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53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54" t="s">
        <v>1977</v>
      </c>
      <c r="U119" s="53" t="str">
        <f aca="false">IF(V119=0,"—",LEFT(TEXT(V119,"0"),4)&amp;"-"&amp;MID(TEXT(V119,"0"),5,2)&amp;"-"&amp;RIGHT(TEXT(V119,"0"),2))</f>
        <v>2026-10-05</v>
      </c>
      <c r="V119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66" t="s">
        <v>2042</v>
      </c>
      <c r="X119" s="104" t="n">
        <f aca="false">IF(ISNUMBER(FIND("上限",S119)),1,0)</f>
        <v>1</v>
      </c>
      <c r="Y119" s="104" t="n">
        <v>1</v>
      </c>
    </row>
    <row r="120" customFormat="false" ht="15" hidden="false" customHeight="true" outlineLevel="0" collapsed="false">
      <c r="A120" s="35" t="s">
        <v>2061</v>
      </c>
      <c r="B120" s="36" t="s">
        <v>1371</v>
      </c>
      <c r="C120" s="178" t="n">
        <f aca="false">Theory_Rev!C30</f>
        <v>20.7225049979976</v>
      </c>
      <c r="D120" s="178" t="n">
        <f aca="false">Theory_Rev!D30</f>
        <v>20.7225049979976</v>
      </c>
      <c r="E120" s="178" t="n">
        <f aca="false">Theory_Rev!E30</f>
        <v>20.7225049979976</v>
      </c>
      <c r="F120" s="178" t="n">
        <f aca="false">Theory_Rev!F30</f>
        <v>100.404653415384</v>
      </c>
      <c r="G120" s="178" t="n">
        <f aca="false">Theory_Rev!G30</f>
        <v>100.404653415384</v>
      </c>
      <c r="H120" s="178" t="n">
        <f aca="false">Theory_Rev!H30</f>
        <v>100.404653415384</v>
      </c>
      <c r="I120" s="178" t="n">
        <f aca="false">Theory_Rev!I30</f>
        <v>146.176727443319</v>
      </c>
      <c r="J120" s="178" t="n">
        <f aca="false">Theory_Rev!J30</f>
        <v>146.176727443319</v>
      </c>
      <c r="K120" s="178" t="n">
        <f aca="false">Theory_Rev!K30</f>
        <v>146.176727443319</v>
      </c>
      <c r="L120" s="178" t="n">
        <f aca="false">Theory_Rev!L30</f>
        <v>228.808271164193</v>
      </c>
      <c r="M120" s="178" t="n">
        <f aca="false">Theory_Rev!M30</f>
        <v>228.808271164193</v>
      </c>
      <c r="N120" s="178" t="n">
        <f aca="false">Theory_Rev!N30</f>
        <v>228.808271164193</v>
      </c>
      <c r="O120" s="178" t="n">
        <f aca="false">Theory_Rev!O30</f>
        <v>314.529969229019</v>
      </c>
      <c r="P120" s="178" t="n">
        <f aca="false">Theory_Rev!P30</f>
        <v>314.529969229019</v>
      </c>
      <c r="Q120" s="178" t="n">
        <f aca="false">Theory_Rev!Q30</f>
        <v>314.529969229019</v>
      </c>
      <c r="R120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53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54" t="s">
        <v>1977</v>
      </c>
      <c r="U120" s="53" t="str">
        <f aca="false">IF(V120=0,"—",LEFT(TEXT(V120,"0"),4)&amp;"-"&amp;MID(TEXT(V120,"0"),5,2)&amp;"-"&amp;RIGHT(TEXT(V120,"0"),2))</f>
        <v>2026-10-05</v>
      </c>
      <c r="V120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66" t="s">
        <v>2044</v>
      </c>
      <c r="X120" s="104" t="n">
        <f aca="false">IF(ISNUMBER(FIND("上限",S120)),1,0)</f>
        <v>1</v>
      </c>
      <c r="Y120" s="104" t="n">
        <v>1</v>
      </c>
    </row>
    <row r="121" customFormat="false" ht="15" hidden="false" customHeight="true" outlineLevel="0" collapsed="false">
      <c r="A121" s="8" t="s">
        <v>229</v>
      </c>
      <c r="B121" s="191"/>
      <c r="C121" s="38"/>
    </row>
    <row r="122" customFormat="false" ht="15" hidden="false" customHeight="true" outlineLevel="0" collapsed="false">
      <c r="A122" s="35" t="s">
        <v>2062</v>
      </c>
      <c r="B122" s="36" t="s">
        <v>774</v>
      </c>
      <c r="C122" s="38" t="n">
        <f aca="false">Price_Frontier!E41</f>
        <v>8</v>
      </c>
      <c r="R122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53" t="str">
        <f aca="false">IF(R122="—","—",IF(R122="A","基準輸入",IF(R122="B","情境、相對比較、反轉門檻","探索")))</f>
        <v>基準輸入</v>
      </c>
      <c r="T122" s="54" t="s">
        <v>587</v>
      </c>
      <c r="U122" s="53" t="str">
        <f aca="false">IF(V122=0,"—",LEFT(TEXT(V122,"0"),4)&amp;"-"&amp;MID(TEXT(V122,"0"),5,2)&amp;"-"&amp;RIGHT(TEXT(V122,"0"),2))</f>
        <v>—</v>
      </c>
      <c r="V122" s="82" t="n">
        <f aca="false">MAX(Gov_Map!$AJ$445,Gov_Map!$AJ$449,Gov_Map!$AJ$451,Gov_Map!$AJ$510:$AJ$518,Gov_Map!$AJ$521:$AJ$522)</f>
        <v>0</v>
      </c>
      <c r="W122" s="66" t="s">
        <v>2018</v>
      </c>
      <c r="X122" s="104" t="n">
        <f aca="false">IF(ISNUMBER(FIND("上限",S122)),1,0)</f>
        <v>0</v>
      </c>
      <c r="Y122" s="104" t="n">
        <v>0</v>
      </c>
    </row>
    <row r="123" customFormat="false" ht="15" hidden="false" customHeight="true" outlineLevel="0" collapsed="false">
      <c r="A123" s="35" t="s">
        <v>2063</v>
      </c>
      <c r="B123" s="36" t="s">
        <v>774</v>
      </c>
      <c r="C123" s="38" t="n">
        <f aca="false">Price_Frontier!E42</f>
        <v>0.8</v>
      </c>
      <c r="R123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53" t="str">
        <f aca="false">IF(R123="—","—",IF(R123="A","基準輸入",IF(R123="B","情境、相對比較、反轉門檻","探索")))</f>
        <v>基準輸入</v>
      </c>
      <c r="T123" s="54" t="s">
        <v>587</v>
      </c>
      <c r="U123" s="53" t="str">
        <f aca="false">IF(V123=0,"—",LEFT(TEXT(V123,"0"),4)&amp;"-"&amp;MID(TEXT(V123,"0"),5,2)&amp;"-"&amp;RIGHT(TEXT(V123,"0"),2))</f>
        <v>—</v>
      </c>
      <c r="V123" s="82" t="n">
        <f aca="false">MAX(Gov_Map!$AJ$445,Gov_Map!$AJ$449,Gov_Map!$AJ$451,Gov_Map!$AJ$510:$AJ$518,Gov_Map!$AJ$521:$AJ$522)</f>
        <v>0</v>
      </c>
      <c r="W123" s="66" t="s">
        <v>2018</v>
      </c>
      <c r="X123" s="104" t="n">
        <f aca="false">IF(ISNUMBER(FIND("上限",S123)),1,0)</f>
        <v>0</v>
      </c>
      <c r="Y123" s="104" t="n">
        <v>0</v>
      </c>
    </row>
    <row r="124" customFormat="false" ht="15" hidden="false" customHeight="true" outlineLevel="0" collapsed="false">
      <c r="A124" s="35" t="s">
        <v>2064</v>
      </c>
      <c r="B124" s="36" t="s">
        <v>774</v>
      </c>
      <c r="C124" s="38" t="n">
        <f aca="false">Price_Frontier!E43</f>
        <v>40</v>
      </c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53" t="str">
        <f aca="false">IF(R124="—","—",IF(R124="A","基準輸入",IF(R124="B","情境、相對比較、反轉門檻","探索")))</f>
        <v>基準輸入</v>
      </c>
      <c r="T124" s="54" t="s">
        <v>587</v>
      </c>
      <c r="U124" s="53" t="str">
        <f aca="false">IF(V124=0,"—",LEFT(TEXT(V124,"0"),4)&amp;"-"&amp;MID(TEXT(V124,"0"),5,2)&amp;"-"&amp;RIGHT(TEXT(V124,"0"),2))</f>
        <v>—</v>
      </c>
      <c r="V124" s="82" t="n">
        <f aca="false">MAX(Gov_Map!$AJ$445,Gov_Map!$AJ$449,Gov_Map!$AJ$451,Gov_Map!$AJ$510:$AJ$518,Gov_Map!$AJ$521:$AJ$522)</f>
        <v>0</v>
      </c>
      <c r="W124" s="66" t="s">
        <v>2018</v>
      </c>
      <c r="X124" s="104" t="n">
        <f aca="false">IF(ISNUMBER(FIND("上限",S124)),1,0)</f>
        <v>0</v>
      </c>
      <c r="Y124" s="104" t="n">
        <v>0</v>
      </c>
    </row>
    <row r="125" customFormat="false" ht="15" hidden="false" customHeight="true" outlineLevel="0" collapsed="false">
      <c r="A125" s="35" t="s">
        <v>2065</v>
      </c>
      <c r="B125" s="36" t="s">
        <v>774</v>
      </c>
      <c r="C125" s="38" t="n">
        <f aca="false">Price_Frontier!E44</f>
        <v>40</v>
      </c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85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53" t="str">
        <f aca="false">IF(R125="—","—",IF(R125="A","基準輸入",IF(R125="B","情境、相對比較、反轉門檻","探索")))</f>
        <v>基準輸入</v>
      </c>
      <c r="T125" s="54" t="s">
        <v>587</v>
      </c>
      <c r="U125" s="53" t="str">
        <f aca="false">IF(V125=0,"—",LEFT(TEXT(V125,"0"),4)&amp;"-"&amp;MID(TEXT(V125,"0"),5,2)&amp;"-"&amp;RIGHT(TEXT(V125,"0"),2))</f>
        <v>—</v>
      </c>
      <c r="V125" s="82" t="n">
        <f aca="false">MAX(Gov_Map!$AJ$445,Gov_Map!$AJ$449,Gov_Map!$AJ$451,Gov_Map!$AJ$510:$AJ$518,Gov_Map!$AJ$521:$AJ$522)</f>
        <v>0</v>
      </c>
      <c r="W125" s="66" t="s">
        <v>2018</v>
      </c>
      <c r="X125" s="104" t="n">
        <f aca="false">IF(ISNUMBER(FIND("上限",S125)),1,0)</f>
        <v>0</v>
      </c>
      <c r="Y125" s="104" t="n">
        <v>0</v>
      </c>
    </row>
    <row r="126" customFormat="false" ht="15" hidden="false" customHeight="true" outlineLevel="0" collapsed="false">
      <c r="A126" s="35" t="s">
        <v>2066</v>
      </c>
      <c r="B126" s="36" t="s">
        <v>774</v>
      </c>
      <c r="C126" s="48" t="n">
        <f aca="false">Price_Frontier!E45</f>
        <v>8.03555555555555</v>
      </c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85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53" t="str">
        <f aca="false">IF(R126="—","—",IF(R126="A","基準輸入",IF(R126="B","情境、相對比較、反轉門檻","探索")))</f>
        <v>情境、相對比較、反轉門檻</v>
      </c>
      <c r="T126" s="54" t="s">
        <v>587</v>
      </c>
      <c r="U126" s="53" t="str">
        <f aca="false">IF(V126=0,"—",LEFT(TEXT(V126,"0"),4)&amp;"-"&amp;MID(TEXT(V126,"0"),5,2)&amp;"-"&amp;RIGHT(TEXT(V126,"0"),2))</f>
        <v>—</v>
      </c>
      <c r="V126" s="82" t="n">
        <f aca="false">MAX(Gov_Map!$AJ$249:$AJ$254,Gov_Map!$AJ$445,Gov_Map!$AJ$447,Gov_Map!$AJ$449,Gov_Map!$AJ$451,Gov_Map!$AJ$510:$AJ$518,Gov_Map!$AJ$521:$AJ$522)</f>
        <v>0</v>
      </c>
      <c r="W126" s="66" t="s">
        <v>2023</v>
      </c>
      <c r="X126" s="104" t="n">
        <f aca="false">IF(ISNUMBER(FIND("上限",S126)),1,0)</f>
        <v>0</v>
      </c>
      <c r="Y126" s="104" t="n">
        <v>0</v>
      </c>
    </row>
    <row r="127" customFormat="false" ht="15" hidden="false" customHeight="true" outlineLevel="0" collapsed="false">
      <c r="A127" s="35" t="s">
        <v>2067</v>
      </c>
      <c r="B127" s="36" t="s">
        <v>774</v>
      </c>
      <c r="C127" s="38" t="n">
        <f aca="false">Price_Frontier!E46</f>
        <v>7.74222222222222</v>
      </c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85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53" t="str">
        <f aca="false">IF(R127="—","—",IF(R127="A","基準輸入",IF(R127="B","情境、相對比較、反轉門檻","探索")))</f>
        <v>情境、相對比較、反轉門檻</v>
      </c>
      <c r="T127" s="54" t="s">
        <v>587</v>
      </c>
      <c r="U127" s="53" t="str">
        <f aca="false">IF(V127=0,"—",LEFT(TEXT(V127,"0"),4)&amp;"-"&amp;MID(TEXT(V127,"0"),5,2)&amp;"-"&amp;RIGHT(TEXT(V127,"0"),2))</f>
        <v>—</v>
      </c>
      <c r="V127" s="82" t="n">
        <f aca="false">MAX(Gov_Map!$AJ$249:$AJ$254,Gov_Map!$AJ$445,Gov_Map!$AJ$447,Gov_Map!$AJ$453,Gov_Map!$AJ$477,Gov_Map!$AJ$479:$AJ$482)</f>
        <v>0</v>
      </c>
      <c r="W127" s="66" t="s">
        <v>2025</v>
      </c>
      <c r="X127" s="104" t="n">
        <f aca="false">IF(ISNUMBER(FIND("上限",S127)),1,0)</f>
        <v>0</v>
      </c>
      <c r="Y127" s="104" t="n">
        <v>0</v>
      </c>
    </row>
    <row r="128" customFormat="false" ht="15" hidden="false" customHeight="true" outlineLevel="0" collapsed="false">
      <c r="A128" s="35" t="s">
        <v>2068</v>
      </c>
      <c r="B128" s="191"/>
      <c r="C128" s="178" t="str">
        <f aca="false">Price_Frontier!E26</f>
        <v>Claude Fable 5.1</v>
      </c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85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53" t="str">
        <f aca="false">IF(R128="—","—",IF(R128="A","基準輸入",IF(R128="B","情境、相對比較、反轉門檻","探索")))</f>
        <v>情境、相對比較、反轉門檻</v>
      </c>
      <c r="T128" s="54" t="s">
        <v>587</v>
      </c>
      <c r="U128" s="53" t="str">
        <f aca="false">IF(V128=0,"—",LEFT(TEXT(V128,"0"),4)&amp;"-"&amp;MID(TEXT(V128,"0"),5,2)&amp;"-"&amp;RIGHT(TEXT(V128,"0"),2))</f>
        <v>—</v>
      </c>
      <c r="V128" s="82" t="n">
        <f aca="false">MAX(Gov_Map!$AJ$249:$AJ$254,Gov_Map!$AJ$447,Gov_Map!$AJ$453,Gov_Map!$AJ$477,Gov_Map!$AJ$479:$AJ$482)</f>
        <v>0</v>
      </c>
      <c r="W128" s="66" t="s">
        <v>2027</v>
      </c>
      <c r="X128" s="104" t="n">
        <f aca="false">IF(ISNUMBER(FIND("上限",S128)),1,0)</f>
        <v>0</v>
      </c>
      <c r="Y128" s="104" t="n">
        <v>0</v>
      </c>
    </row>
    <row r="129" customFormat="false" ht="15" hidden="false" customHeight="true" outlineLevel="0" collapsed="false">
      <c r="A129" s="35" t="s">
        <v>2069</v>
      </c>
      <c r="B129" s="35" t="s">
        <v>1134</v>
      </c>
      <c r="C129" s="186" t="n">
        <f aca="false">INDEX(B4_Life,1,3)</f>
        <v>9</v>
      </c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85" t="str">
        <f aca="false">IF(SUM(Gov_Map!$AG$454)&gt;0,"C",IF(SUM(Gov_Map!$AH$454)&gt;0,"B","A"))</f>
        <v>A</v>
      </c>
      <c r="S129" s="53" t="str">
        <f aca="false">IF(R129="—","—",IF(R129="A","基準輸入",IF(R129="B","情境、相對比較、反轉門檻","探索")))</f>
        <v>基準輸入</v>
      </c>
      <c r="T129" s="54" t="s">
        <v>587</v>
      </c>
      <c r="U129" s="53" t="str">
        <f aca="false">IF(V129=0,"—",LEFT(TEXT(V129,"0"),4)&amp;"-"&amp;MID(TEXT(V129,"0"),5,2)&amp;"-"&amp;RIGHT(TEXT(V129,"0"),2))</f>
        <v>—</v>
      </c>
      <c r="V129" s="82" t="n">
        <f aca="false">MAX(Gov_Map!$AJ$454)</f>
        <v>0</v>
      </c>
      <c r="W129" s="66" t="s">
        <v>2014</v>
      </c>
      <c r="X129" s="104" t="n">
        <f aca="false">IF(ISNUMBER(FIND("上限",S129)),1,0)</f>
        <v>0</v>
      </c>
      <c r="Y129" s="104" t="n">
        <v>0</v>
      </c>
    </row>
    <row r="130" customFormat="false" ht="15" hidden="false" customHeight="true" outlineLevel="0" collapsed="false">
      <c r="A130" s="35" t="s">
        <v>2070</v>
      </c>
      <c r="B130" s="36" t="s">
        <v>774</v>
      </c>
      <c r="C130" s="187" t="n">
        <f aca="false">Cache_Store!C29</f>
        <v>0.000273972602739726</v>
      </c>
      <c r="D130" s="187" t="n">
        <f aca="false">Cache_Store!D29</f>
        <v>0.000273972602739726</v>
      </c>
      <c r="E130" s="187" t="n">
        <f aca="false">Cache_Store!E29</f>
        <v>0.000273972602739726</v>
      </c>
      <c r="F130" s="187" t="n">
        <f aca="false">Cache_Store!F29</f>
        <v>0.000273972602739726</v>
      </c>
      <c r="G130" s="187" t="n">
        <f aca="false">Cache_Store!G29</f>
        <v>0.000273972602739726</v>
      </c>
      <c r="H130" s="187" t="n">
        <f aca="false">Cache_Store!H29</f>
        <v>0.000273972602739726</v>
      </c>
      <c r="I130" s="187" t="n">
        <f aca="false">Cache_Store!I29</f>
        <v>0.000273972602739726</v>
      </c>
      <c r="J130" s="187" t="n">
        <f aca="false">Cache_Store!J29</f>
        <v>0.000273972602739726</v>
      </c>
      <c r="K130" s="187" t="n">
        <f aca="false">Cache_Store!K29</f>
        <v>0.000273972602739726</v>
      </c>
      <c r="L130" s="187" t="n">
        <f aca="false">Cache_Store!L29</f>
        <v>0.000273972602739726</v>
      </c>
      <c r="M130" s="187" t="n">
        <f aca="false">Cache_Store!M29</f>
        <v>0.000273972602739726</v>
      </c>
      <c r="N130" s="187" t="n">
        <f aca="false">Cache_Store!N29</f>
        <v>0.000273972602739726</v>
      </c>
      <c r="O130" s="187" t="n">
        <f aca="false">Cache_Store!O29</f>
        <v>0.000273972602739726</v>
      </c>
      <c r="P130" s="187" t="n">
        <f aca="false">Cache_Store!P29</f>
        <v>0.000273972602739726</v>
      </c>
      <c r="Q130" s="187" t="n">
        <f aca="false">Cache_Store!Q29</f>
        <v>0.000273972602739726</v>
      </c>
      <c r="R130" s="85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$578)&gt;0,"B","A"))</f>
        <v>B</v>
      </c>
      <c r="S130" s="53" t="str">
        <f aca="false">IF(R130="—","—",IF(R130="A","基準輸入",IF(R130="B","情境、相對比較、反轉門檻","探索")))</f>
        <v>情境、相對比較、反轉門檻</v>
      </c>
      <c r="T130" s="54" t="s">
        <v>587</v>
      </c>
      <c r="U130" s="53" t="str">
        <f aca="false">IF(V130=0,"—",LEFT(TEXT(V130,"0"),4)&amp;"-"&amp;MID(TEXT(V130,"0"),5,2)&amp;"-"&amp;RIGHT(TEXT(V130,"0"),2))</f>
        <v>2026-10-05</v>
      </c>
      <c r="V130" s="82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$578)</f>
        <v>20261005</v>
      </c>
      <c r="W130" s="66" t="s">
        <v>2071</v>
      </c>
      <c r="X130" s="104" t="n">
        <f aca="false">IF(ISNUMBER(FIND("上限",S130)),1,0)</f>
        <v>0</v>
      </c>
      <c r="Y130" s="104" t="n">
        <v>0</v>
      </c>
    </row>
    <row r="131" customFormat="false" ht="15" hidden="false" customHeight="true" outlineLevel="0" collapsed="false">
      <c r="A131" s="35" t="s">
        <v>2072</v>
      </c>
      <c r="B131" s="36" t="s">
        <v>774</v>
      </c>
      <c r="C131" s="187" t="n">
        <f aca="false">Amortize!C32</f>
        <v>4.34635141236617</v>
      </c>
      <c r="D131" s="187" t="n">
        <f aca="false">Amortize!D32</f>
        <v>6.26851466451514</v>
      </c>
      <c r="E131" s="187" t="n">
        <f aca="false">Amortize!E32</f>
        <v>10.8074290269647</v>
      </c>
      <c r="F131" s="187" t="n">
        <f aca="false">Amortize!F32</f>
        <v>0.414337994967339</v>
      </c>
      <c r="G131" s="187" t="n">
        <f aca="false">Amortize!G32</f>
        <v>0.557726867235468</v>
      </c>
      <c r="H131" s="187" t="n">
        <f aca="false">Amortize!H32</f>
        <v>0.907351125957547</v>
      </c>
      <c r="I131" s="187" t="n">
        <f aca="false">Amortize!I32</f>
        <v>0.378946392813096</v>
      </c>
      <c r="J131" s="187" t="n">
        <f aca="false">Amortize!J32</f>
        <v>0.553776964935269</v>
      </c>
      <c r="K131" s="187" t="n">
        <f aca="false">Amortize!K32</f>
        <v>1.03889625673366</v>
      </c>
      <c r="L131" s="187" t="n">
        <f aca="false">Amortize!L32</f>
        <v>0.140804062409482</v>
      </c>
      <c r="M131" s="187" t="n">
        <f aca="false">Amortize!M32</f>
        <v>0.182677850203567</v>
      </c>
      <c r="N131" s="187" t="n">
        <f aca="false">Amortize!N32</f>
        <v>0.295989989987929</v>
      </c>
      <c r="O131" s="187" t="n">
        <f aca="false">Amortize!O32</f>
        <v>0.072018230448584</v>
      </c>
      <c r="P131" s="187" t="n">
        <f aca="false">Amortize!P32</f>
        <v>0.110722070659308</v>
      </c>
      <c r="Q131" s="187" t="n">
        <f aca="false">Amortize!Q32</f>
        <v>0.202948739069484</v>
      </c>
      <c r="R131" s="8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$599)&gt;0,"B","A"))</f>
        <v>B</v>
      </c>
      <c r="S131" s="53" t="str">
        <f aca="false">IF(R131="—","—",IF(R131="A","基準輸入",IF(R131="B","情境、相對比較、反轉門檻","探索")))</f>
        <v>情境、相對比較、反轉門檻</v>
      </c>
      <c r="T131" s="54" t="s">
        <v>587</v>
      </c>
      <c r="U131" s="53" t="str">
        <f aca="false">IF(V131=0,"—",LEFT(TEXT(V131,"0"),4)&amp;"-"&amp;MID(TEXT(V131,"0"),5,2)&amp;"-"&amp;RIGHT(TEXT(V131,"0"),2))</f>
        <v>2026-10-05</v>
      </c>
      <c r="V131" s="8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$599)</f>
        <v>20261005</v>
      </c>
      <c r="W131" s="66" t="s">
        <v>2032</v>
      </c>
      <c r="X131" s="104" t="n">
        <f aca="false">IF(ISNUMBER(FIND("上限",S131)),1,0)</f>
        <v>0</v>
      </c>
      <c r="Y131" s="104" t="n">
        <v>0</v>
      </c>
    </row>
    <row r="132" customFormat="false" ht="15" hidden="false" customHeight="true" outlineLevel="0" collapsed="false">
      <c r="A132" s="35" t="s">
        <v>2073</v>
      </c>
      <c r="B132" s="36" t="s">
        <v>774</v>
      </c>
      <c r="C132" s="176" t="n">
        <f aca="false">Amortize!C34</f>
        <v>3.79322803740293</v>
      </c>
      <c r="D132" s="176" t="n">
        <f aca="false">Amortize!D34</f>
        <v>5.47063176447502</v>
      </c>
      <c r="E132" s="176" t="n">
        <f aca="false">Amortize!E34</f>
        <v>9.43158141842451</v>
      </c>
      <c r="F132" s="176" t="n">
        <f aca="false">Amortize!F34</f>
        <v>0.741797885273687</v>
      </c>
      <c r="G132" s="176" t="n">
        <f aca="false">Amortize!G34</f>
        <v>0.998398778224654</v>
      </c>
      <c r="H132" s="176" t="n">
        <f aca="false">Amortize!H34</f>
        <v>1.62406725281622</v>
      </c>
      <c r="I132" s="176" t="n">
        <f aca="false">Amortize!I34</f>
        <v>0.797371867520622</v>
      </c>
      <c r="J132" s="176" t="n">
        <f aca="false">Amortize!J34</f>
        <v>1.16509885811618</v>
      </c>
      <c r="K132" s="176" t="n">
        <f aca="false">Amortize!K34</f>
        <v>2.1854664922632</v>
      </c>
      <c r="L132" s="176" t="n">
        <f aca="false">Amortize!L34</f>
        <v>0.409518348640377</v>
      </c>
      <c r="M132" s="176" t="n">
        <f aca="false">Amortize!M34</f>
        <v>0.531209672440146</v>
      </c>
      <c r="N132" s="176" t="n">
        <f aca="false">Amortize!N34</f>
        <v>0.860511247944892</v>
      </c>
      <c r="O132" s="176" t="n">
        <f aca="false">Amortize!O34</f>
        <v>0.296548096631804</v>
      </c>
      <c r="P132" s="176" t="n">
        <f aca="false">Amortize!P34</f>
        <v>0.455745520983754</v>
      </c>
      <c r="Q132" s="176" t="n">
        <f aca="false">Amortize!Q34</f>
        <v>0.835094133098817</v>
      </c>
      <c r="R132" s="8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$578)&gt;0,"B","A"))</f>
        <v>B</v>
      </c>
      <c r="S132" s="53" t="str">
        <f aca="false">IF(R132="—","—",IF(R132="A","基準輸入",IF(R132="B","情境、相對比較、反轉門檻","探索")))</f>
        <v>情境、相對比較、反轉門檻</v>
      </c>
      <c r="T132" s="54" t="s">
        <v>587</v>
      </c>
      <c r="U132" s="53" t="str">
        <f aca="false">IF(V132=0,"—",LEFT(TEXT(V132,"0"),4)&amp;"-"&amp;MID(TEXT(V132,"0"),5,2)&amp;"-"&amp;RIGHT(TEXT(V132,"0"),2))</f>
        <v>2026-10-05</v>
      </c>
      <c r="V132" s="8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$578)</f>
        <v>20261005</v>
      </c>
      <c r="W132" s="66" t="s">
        <v>2034</v>
      </c>
      <c r="X132" s="104" t="n">
        <f aca="false">IF(ISNUMBER(FIND("上限",S132)),1,0)</f>
        <v>0</v>
      </c>
      <c r="Y132" s="104" t="n">
        <v>0</v>
      </c>
    </row>
    <row r="133" customFormat="false" ht="15" hidden="false" customHeight="true" outlineLevel="0" collapsed="false">
      <c r="A133" s="35" t="s">
        <v>2074</v>
      </c>
      <c r="B133" s="36" t="s">
        <v>774</v>
      </c>
      <c r="C133" s="176" t="n">
        <f aca="false">Theory_Rev!C54</f>
        <v>6.98232343835803</v>
      </c>
      <c r="D133" s="176" t="n">
        <f aca="false">Theory_Rev!D54</f>
        <v>10.0701401279639</v>
      </c>
      <c r="E133" s="176" t="n">
        <f aca="false">Theory_Rev!E54</f>
        <v>17.3615788262088</v>
      </c>
      <c r="F133" s="176" t="n">
        <f aca="false">Theory_Rev!F54</f>
        <v>0.929824661004986</v>
      </c>
      <c r="G133" s="176" t="n">
        <f aca="false">Theory_Rev!G54</f>
        <v>1.25152940803565</v>
      </c>
      <c r="H133" s="176" t="n">
        <f aca="false">Theory_Rev!H54</f>
        <v>2.03594023384679</v>
      </c>
      <c r="I133" s="176" t="n">
        <f aca="false">Theory_Rev!I54</f>
        <v>0.933052266852849</v>
      </c>
      <c r="J133" s="176" t="n">
        <f aca="false">Theory_Rev!J54</f>
        <v>1.36342193413465</v>
      </c>
      <c r="K133" s="176" t="n">
        <f aca="false">Theory_Rev!K54</f>
        <v>2.55761025983181</v>
      </c>
      <c r="L133" s="176" t="n">
        <f aca="false">Theory_Rev!L54</f>
        <v>0.425384609769744</v>
      </c>
      <c r="M133" s="176" t="n">
        <f aca="false">Theory_Rev!M54</f>
        <v>0.551823554780618</v>
      </c>
      <c r="N133" s="176" t="n">
        <f aca="false">Theory_Rev!N54</f>
        <v>0.8939723826276</v>
      </c>
      <c r="O133" s="176" t="n">
        <f aca="false">Theory_Rev!O54</f>
        <v>0.278094026413058</v>
      </c>
      <c r="P133" s="176" t="n">
        <f aca="false">Theory_Rev!P54</f>
        <v>0.427426585241239</v>
      </c>
      <c r="Q133" s="176" t="n">
        <f aca="false">Theory_Rev!Q54</f>
        <v>0.783268390883916</v>
      </c>
      <c r="R133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33" s="53" t="str">
        <f aca="false">IF(R133="—","—",IF(R133="A","基準輸入",IF(R133="B","情境、相對比較、反轉門檻","探索")))</f>
        <v>情境、相對比較、反轉門檻</v>
      </c>
      <c r="T133" s="54" t="s">
        <v>1977</v>
      </c>
      <c r="U133" s="53" t="str">
        <f aca="false">IF(V133=0,"—",LEFT(TEXT(V133,"0"),4)&amp;"-"&amp;MID(TEXT(V133,"0"),5,2)&amp;"-"&amp;RIGHT(TEXT(V133,"0"),2))</f>
        <v>2026-10-05</v>
      </c>
      <c r="V133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33" s="66" t="s">
        <v>2036</v>
      </c>
      <c r="X133" s="104" t="n">
        <f aca="false">IF(ISNUMBER(FIND("上限",S133)),1,0)</f>
        <v>0</v>
      </c>
      <c r="Y133" s="104" t="n">
        <v>0</v>
      </c>
    </row>
    <row r="134" customFormat="false" ht="15" hidden="false" customHeight="true" outlineLevel="0" collapsed="false">
      <c r="A134" s="35" t="s">
        <v>2075</v>
      </c>
      <c r="B134" s="36" t="s">
        <v>774</v>
      </c>
      <c r="C134" s="188" t="n">
        <f aca="false">Amortize!C47</f>
        <v>9.48997746983271</v>
      </c>
      <c r="D134" s="188" t="n">
        <f aca="false">Amortize!D47</f>
        <v>13.6865981706605</v>
      </c>
      <c r="E134" s="188" t="n">
        <f aca="false">Amortize!E47</f>
        <v>23.5963193930616</v>
      </c>
      <c r="F134" s="188" t="n">
        <f aca="false">Amortize!F47</f>
        <v>1.963256089996</v>
      </c>
      <c r="G134" s="188" t="n">
        <f aca="false">Amortize!G47</f>
        <v>2.64244378294829</v>
      </c>
      <c r="H134" s="188" t="n">
        <f aca="false">Amortize!H47</f>
        <v>4.29850321019286</v>
      </c>
      <c r="I134" s="188" t="n">
        <f aca="false">Amortize!I47</f>
        <v>1.94948540379337</v>
      </c>
      <c r="J134" s="188" t="n">
        <f aca="false">Amortize!J47</f>
        <v>2.84857345949467</v>
      </c>
      <c r="K134" s="188" t="n">
        <f aca="false">Amortize!K47</f>
        <v>5.34336001514014</v>
      </c>
      <c r="L134" s="188" t="n">
        <f aca="false">Amortize!L47</f>
        <v>1.15178675266896</v>
      </c>
      <c r="M134" s="188" t="n">
        <f aca="false">Amortize!M47</f>
        <v>1.49412772386216</v>
      </c>
      <c r="N134" s="188" t="n">
        <f aca="false">Amortize!N47</f>
        <v>2.42051604517945</v>
      </c>
      <c r="O134" s="188" t="n">
        <f aca="false">Amortize!O47</f>
        <v>0.863665345910231</v>
      </c>
      <c r="P134" s="188" t="n">
        <f aca="false">Amortize!P47</f>
        <v>1.32747640194325</v>
      </c>
      <c r="Q134" s="188" t="n">
        <f aca="false">Amortize!Q47</f>
        <v>2.43268322991786</v>
      </c>
      <c r="R134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34" s="53" t="str">
        <f aca="false">IF(R134="—","—",IF(R134="A","基準輸入",IF(R134="B","情境、相對比較、反轉門檻","探索")))</f>
        <v>情境、相對比較、反轉門檻</v>
      </c>
      <c r="T134" s="54" t="s">
        <v>587</v>
      </c>
      <c r="U134" s="53" t="str">
        <f aca="false">IF(V134=0,"—",LEFT(TEXT(V134,"0"),4)&amp;"-"&amp;MID(TEXT(V134,"0"),5,2)&amp;"-"&amp;RIGHT(TEXT(V134,"0"),2))</f>
        <v>2026-10-05</v>
      </c>
      <c r="V134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34" s="66" t="s">
        <v>2036</v>
      </c>
      <c r="X134" s="104" t="n">
        <f aca="false">IF(ISNUMBER(FIND("上限",S134)),1,0)</f>
        <v>0</v>
      </c>
      <c r="Y134" s="104" t="n">
        <v>0</v>
      </c>
    </row>
    <row r="135" customFormat="false" ht="15" hidden="false" customHeight="true" outlineLevel="0" collapsed="false">
      <c r="A135" s="35" t="s">
        <v>2076</v>
      </c>
      <c r="B135" s="36" t="s">
        <v>774</v>
      </c>
      <c r="C135" s="187" t="n">
        <f aca="false">Amortize!C48</f>
        <v>6.79321461567925</v>
      </c>
      <c r="D135" s="187" t="n">
        <f aca="false">Amortize!D48</f>
        <v>9.79728340003094</v>
      </c>
      <c r="E135" s="187" t="n">
        <f aca="false">Amortize!E48</f>
        <v>16.8909633649538</v>
      </c>
      <c r="F135" s="187" t="n">
        <f aca="false">Amortize!F48</f>
        <v>1.39957292510893</v>
      </c>
      <c r="G135" s="187" t="n">
        <f aca="false">Amortize!G48</f>
        <v>1.88375464290264</v>
      </c>
      <c r="H135" s="187" t="n">
        <f aca="false">Amortize!H48</f>
        <v>3.06433212770118</v>
      </c>
      <c r="I135" s="187" t="n">
        <f aca="false">Amortize!I48</f>
        <v>1.3842384586311</v>
      </c>
      <c r="J135" s="187" t="n">
        <f aca="false">Amortize!J48</f>
        <v>2.02263886007853</v>
      </c>
      <c r="K135" s="187" t="n">
        <f aca="false">Amortize!K48</f>
        <v>3.79407017712279</v>
      </c>
      <c r="L135" s="187" t="n">
        <f aca="false">Amortize!L48</f>
        <v>0.822528170591976</v>
      </c>
      <c r="M135" s="187" t="n">
        <f aca="false">Amortize!M48</f>
        <v>1.06700492994151</v>
      </c>
      <c r="N135" s="187" t="n">
        <f aca="false">Amortize!N48</f>
        <v>1.72856879098192</v>
      </c>
      <c r="O135" s="187" t="n">
        <f aca="false">Amortize!O48</f>
        <v>0.614818635942223</v>
      </c>
      <c r="P135" s="187" t="n">
        <f aca="false">Amortize!P48</f>
        <v>0.944992449393784</v>
      </c>
      <c r="Q135" s="187" t="n">
        <f aca="false">Amortize!Q48</f>
        <v>1.73175755190377</v>
      </c>
      <c r="R135" s="85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$445,Gov_Map!$AG$447,Gov_Map!$AG$449,Gov_Map!$AG$451,Gov_Map!$AG$457,Gov_Map!$AG$459,Gov_Map!$AG$461:$AG$463,Gov_Map!$AG$465,Gov_Map!$AG$467,Gov_Map!$AG$469,Gov_Map!$AG$471,Gov_Map!$AG$473,Gov_Map!$AG$475,Gov_Map!$AG$510:$AG$518,Gov_Map!$AG$521:$AG$522,Gov_Map!$AG$574:$AG$578)&gt;0,"C",IF(SUM(Gov_Map!$AH$5:$AH$128,Gov_Map!$AH$134:$AH$148,Gov_Map!$AH$179:$AH$192,Gov_Map!$AH$195:$AH$214,Gov_Map!$AH$216:$AH$245,Gov_Map!$AH$249:$AH$254,Gov_Map!$AH$308:$AH$319,Gov_Map!$AH$345:$AH$359,Gov_Map!$AH$419:$AH$420,Gov_Map!$AH$430,Gov_Map!$AH$445,Gov_Map!$AH$447,Gov_Map!$AH$449,Gov_Map!$AH$451,Gov_Map!$AH$457,Gov_Map!$AH$459,Gov_Map!$AH$461:$AH$463,Gov_Map!$AH$465,Gov_Map!$AH$467,Gov_Map!$AH$469,Gov_Map!$AH$471,Gov_Map!$AH$473,Gov_Map!$AH$475,Gov_Map!$AH$510:$AH$518,Gov_Map!$AH$521:$AH$522,Gov_Map!$AH$574:$AH$578)&gt;0,"B","A"))</f>
        <v>B</v>
      </c>
      <c r="S135" s="53" t="str">
        <f aca="false">IF(R135="—","—",IF(R135="A","基準輸入",IF(R135="B","情境、相對比較、反轉門檻","探索")))</f>
        <v>情境、相對比較、反轉門檻</v>
      </c>
      <c r="T135" s="54" t="s">
        <v>587</v>
      </c>
      <c r="U135" s="53" t="str">
        <f aca="false">IF(V135=0,"—",LEFT(TEXT(V135,"0"),4)&amp;"-"&amp;MID(TEXT(V135,"0"),5,2)&amp;"-"&amp;RIGHT(TEXT(V135,"0"),2))</f>
        <v>2026-10-05</v>
      </c>
      <c r="V135" s="82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$445,Gov_Map!$AJ$447,Gov_Map!$AJ$449,Gov_Map!$AJ$451,Gov_Map!$AJ$457,Gov_Map!$AJ$459,Gov_Map!$AJ$461:$AJ$463,Gov_Map!$AJ$465,Gov_Map!$AJ$467,Gov_Map!$AJ$469,Gov_Map!$AJ$471,Gov_Map!$AJ$473,Gov_Map!$AJ$475,Gov_Map!$AJ$510:$AJ$518,Gov_Map!$AJ$521:$AJ$522,Gov_Map!$AJ$574:$AJ$578)</f>
        <v>20261005</v>
      </c>
      <c r="W135" s="66" t="s">
        <v>2039</v>
      </c>
      <c r="X135" s="104" t="n">
        <f aca="false">IF(ISNUMBER(FIND("上限",S135)),1,0)</f>
        <v>0</v>
      </c>
      <c r="Y135" s="104" t="n">
        <v>0</v>
      </c>
    </row>
    <row r="136" customFormat="false" ht="15" hidden="false" customHeight="true" outlineLevel="0" collapsed="false">
      <c r="A136" s="35" t="s">
        <v>2077</v>
      </c>
      <c r="B136" s="36" t="s">
        <v>774</v>
      </c>
      <c r="C136" s="189" t="n">
        <f aca="false">Theory_Rev!C56</f>
        <v>12.1259494958246</v>
      </c>
      <c r="D136" s="189" t="n">
        <f aca="false">Theory_Rev!D56</f>
        <v>17.4882236341092</v>
      </c>
      <c r="E136" s="189" t="n">
        <f aca="false">Theory_Rev!E56</f>
        <v>30.1504691923057</v>
      </c>
      <c r="F136" s="189" t="n">
        <f aca="false">Theory_Rev!F56</f>
        <v>2.47874275603365</v>
      </c>
      <c r="G136" s="189" t="n">
        <f aca="false">Theory_Rev!G56</f>
        <v>3.33624632374847</v>
      </c>
      <c r="H136" s="189" t="n">
        <f aca="false">Theory_Rev!H56</f>
        <v>5.42709231808209</v>
      </c>
      <c r="I136" s="189" t="n">
        <f aca="false">Theory_Rev!I56</f>
        <v>2.50359127783313</v>
      </c>
      <c r="J136" s="189" t="n">
        <f aca="false">Theory_Rev!J56</f>
        <v>3.65821842869405</v>
      </c>
      <c r="K136" s="189" t="n">
        <f aca="false">Theory_Rev!K56</f>
        <v>6.86207401823829</v>
      </c>
      <c r="L136" s="189" t="n">
        <f aca="false">Theory_Rev!L56</f>
        <v>1.43636730002922</v>
      </c>
      <c r="M136" s="189" t="n">
        <f aca="false">Theory_Rev!M56</f>
        <v>1.86327342843922</v>
      </c>
      <c r="N136" s="189" t="n">
        <f aca="false">Theory_Rev!N56</f>
        <v>3.01849843781912</v>
      </c>
      <c r="O136" s="189" t="n">
        <f aca="false">Theory_Rev!O56</f>
        <v>1.06974114187471</v>
      </c>
      <c r="P136" s="189" t="n">
        <f aca="false">Theory_Rev!P56</f>
        <v>1.64418091652518</v>
      </c>
      <c r="Q136" s="189" t="n">
        <f aca="false">Theory_Rev!Q56</f>
        <v>3.01300288173229</v>
      </c>
      <c r="R136" s="85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$599)&gt;0,"B","A"))</f>
        <v>B</v>
      </c>
      <c r="S136" s="53" t="str">
        <f aca="false">IF(R136="—","—",IF(R136="A","基準輸入",IF(R136="B","情境、相對比較、反轉門檻","探索")))</f>
        <v>情境、相對比較、反轉門檻</v>
      </c>
      <c r="T136" s="54" t="s">
        <v>1977</v>
      </c>
      <c r="U136" s="53" t="str">
        <f aca="false">IF(V136=0,"—",LEFT(TEXT(V136,"0"),4)&amp;"-"&amp;MID(TEXT(V136,"0"),5,2)&amp;"-"&amp;RIGHT(TEXT(V136,"0"),2))</f>
        <v>2026-10-05</v>
      </c>
      <c r="V136" s="82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$599)</f>
        <v>20261005</v>
      </c>
      <c r="W136" s="66" t="s">
        <v>2036</v>
      </c>
      <c r="X136" s="104" t="n">
        <f aca="false">IF(ISNUMBER(FIND("上限",S136)),1,0)</f>
        <v>0</v>
      </c>
      <c r="Y136" s="104" t="n">
        <v>0</v>
      </c>
    </row>
    <row r="137" customFormat="false" ht="15" hidden="false" customHeight="true" outlineLevel="0" collapsed="false">
      <c r="A137" s="35" t="s">
        <v>2078</v>
      </c>
      <c r="B137" s="36" t="s">
        <v>1371</v>
      </c>
      <c r="C137" s="190" t="n">
        <f aca="false">Theory_Rev!C47</f>
        <v>18.6899868774826</v>
      </c>
      <c r="D137" s="190" t="n">
        <f aca="false">Theory_Rev!D47</f>
        <v>18.6899868774826</v>
      </c>
      <c r="E137" s="190" t="n">
        <f aca="false">Theory_Rev!E47</f>
        <v>18.6899868774826</v>
      </c>
      <c r="F137" s="190" t="n">
        <f aca="false">Theory_Rev!F47</f>
        <v>96.6283848132214</v>
      </c>
      <c r="G137" s="190" t="n">
        <f aca="false">Theory_Rev!G47</f>
        <v>96.6283848132214</v>
      </c>
      <c r="H137" s="190" t="n">
        <f aca="false">Theory_Rev!H47</f>
        <v>96.6283848132214</v>
      </c>
      <c r="I137" s="190" t="n">
        <f aca="false">Theory_Rev!I47</f>
        <v>116.841337205439</v>
      </c>
      <c r="J137" s="190" t="n">
        <f aca="false">Theory_Rev!J47</f>
        <v>116.841337205439</v>
      </c>
      <c r="K137" s="190" t="n">
        <f aca="false">Theory_Rev!K47</f>
        <v>116.841337205439</v>
      </c>
      <c r="L137" s="190" t="n">
        <f aca="false">Theory_Rev!L47</f>
        <v>246.697456312585</v>
      </c>
      <c r="M137" s="190" t="n">
        <f aca="false">Theory_Rev!M47</f>
        <v>246.697456312585</v>
      </c>
      <c r="N137" s="190" t="n">
        <f aca="false">Theory_Rev!N47</f>
        <v>246.697456312585</v>
      </c>
      <c r="O137" s="190" t="n">
        <f aca="false">Theory_Rev!O47</f>
        <v>358.71180915499</v>
      </c>
      <c r="P137" s="190" t="n">
        <f aca="false">Theory_Rev!P47</f>
        <v>358.71180915499</v>
      </c>
      <c r="Q137" s="190" t="n">
        <f aca="false">Theory_Rev!Q47</f>
        <v>358.71180915499</v>
      </c>
      <c r="R137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53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54" t="s">
        <v>1977</v>
      </c>
      <c r="U137" s="53" t="str">
        <f aca="false">IF(V137=0,"—",LEFT(TEXT(V137,"0"),4)&amp;"-"&amp;MID(TEXT(V137,"0"),5,2)&amp;"-"&amp;RIGHT(TEXT(V137,"0"),2))</f>
        <v>2026-10-05</v>
      </c>
      <c r="V137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66" t="s">
        <v>2042</v>
      </c>
      <c r="X137" s="104" t="n">
        <f aca="false">IF(ISNUMBER(FIND("上限",S137)),1,0)</f>
        <v>1</v>
      </c>
      <c r="Y137" s="104" t="n">
        <v>1</v>
      </c>
    </row>
    <row r="138" customFormat="false" ht="15" hidden="false" customHeight="true" outlineLevel="0" collapsed="false">
      <c r="A138" s="35" t="s">
        <v>2079</v>
      </c>
      <c r="B138" s="36" t="s">
        <v>1371</v>
      </c>
      <c r="C138" s="178" t="n">
        <f aca="false">Theory_Rev!C48</f>
        <v>18.0077196573975</v>
      </c>
      <c r="D138" s="178" t="n">
        <f aca="false">Theory_Rev!D48</f>
        <v>18.0077196573975</v>
      </c>
      <c r="E138" s="178" t="n">
        <f aca="false">Theory_Rev!E48</f>
        <v>18.0077196573975</v>
      </c>
      <c r="F138" s="178" t="n">
        <f aca="false">Theory_Rev!F48</f>
        <v>93.101021208314</v>
      </c>
      <c r="G138" s="178" t="n">
        <f aca="false">Theory_Rev!G48</f>
        <v>93.101021208314</v>
      </c>
      <c r="H138" s="178" t="n">
        <f aca="false">Theory_Rev!H48</f>
        <v>93.101021208314</v>
      </c>
      <c r="I138" s="178" t="n">
        <f aca="false">Theory_Rev!I48</f>
        <v>112.576111400374</v>
      </c>
      <c r="J138" s="178" t="n">
        <f aca="false">Theory_Rev!J48</f>
        <v>112.576111400374</v>
      </c>
      <c r="K138" s="178" t="n">
        <f aca="false">Theory_Rev!K48</f>
        <v>112.576111400374</v>
      </c>
      <c r="L138" s="178" t="n">
        <f aca="false">Theory_Rev!L48</f>
        <v>237.691907575511</v>
      </c>
      <c r="M138" s="178" t="n">
        <f aca="false">Theory_Rev!M48</f>
        <v>237.691907575511</v>
      </c>
      <c r="N138" s="178" t="n">
        <f aca="false">Theory_Rev!N48</f>
        <v>237.691907575511</v>
      </c>
      <c r="O138" s="178" t="n">
        <f aca="false">Theory_Rev!O48</f>
        <v>345.617240900439</v>
      </c>
      <c r="P138" s="178" t="n">
        <f aca="false">Theory_Rev!P48</f>
        <v>345.617240900439</v>
      </c>
      <c r="Q138" s="178" t="n">
        <f aca="false">Theory_Rev!Q48</f>
        <v>345.617240900439</v>
      </c>
      <c r="R138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53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54" t="s">
        <v>1977</v>
      </c>
      <c r="U138" s="53" t="str">
        <f aca="false">IF(V138=0,"—",LEFT(TEXT(V138,"0"),4)&amp;"-"&amp;MID(TEXT(V138,"0"),5,2)&amp;"-"&amp;RIGHT(TEXT(V138,"0"),2))</f>
        <v>2026-10-05</v>
      </c>
      <c r="V138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66" t="s">
        <v>2044</v>
      </c>
      <c r="X138" s="104" t="n">
        <f aca="false">IF(ISNUMBER(FIND("上限",S138)),1,0)</f>
        <v>1</v>
      </c>
      <c r="Y138" s="104" t="n">
        <v>1</v>
      </c>
    </row>
    <row r="139" customFormat="false" ht="15" hidden="false" customHeight="true" outlineLevel="0" collapsed="false">
      <c r="A139" s="8" t="s">
        <v>2080</v>
      </c>
    </row>
    <row r="140" customFormat="false" ht="15" hidden="false" customHeight="true" outlineLevel="0" collapsed="false">
      <c r="A140" s="35" t="s">
        <v>2081</v>
      </c>
      <c r="B140" s="36" t="s">
        <v>1371</v>
      </c>
      <c r="C140" s="192" t="n">
        <f aca="false">Theory_Rev!C64</f>
        <v>0.0656538975388793</v>
      </c>
      <c r="D140" s="192" t="n">
        <f aca="false">Theory_Rev!D64</f>
        <v>0.0656538975388793</v>
      </c>
      <c r="E140" s="192" t="n">
        <f aca="false">Theory_Rev!E64</f>
        <v>0.0656538975388793</v>
      </c>
      <c r="F140" s="192" t="n">
        <f aca="false">Theory_Rev!F64</f>
        <v>0.330731407559226</v>
      </c>
      <c r="G140" s="192" t="n">
        <f aca="false">Theory_Rev!G64</f>
        <v>0.330731407559226</v>
      </c>
      <c r="H140" s="192" t="n">
        <f aca="false">Theory_Rev!H64</f>
        <v>0.330731407559226</v>
      </c>
      <c r="I140" s="192" t="n">
        <f aca="false">Theory_Rev!I64</f>
        <v>0.430577634420929</v>
      </c>
      <c r="J140" s="192" t="n">
        <f aca="false">Theory_Rev!J64</f>
        <v>0.430577634420929</v>
      </c>
      <c r="K140" s="192" t="n">
        <f aca="false">Theory_Rev!K64</f>
        <v>0.430577634420929</v>
      </c>
      <c r="L140" s="192" t="n">
        <f aca="false">Theory_Rev!L64</f>
        <v>0.798749212524483</v>
      </c>
      <c r="M140" s="192" t="n">
        <f aca="false">Theory_Rev!M64</f>
        <v>0.798749212524483</v>
      </c>
      <c r="N140" s="192" t="n">
        <f aca="false">Theory_Rev!N64</f>
        <v>0.798749212524483</v>
      </c>
      <c r="O140" s="192" t="n">
        <f aca="false">Theory_Rev!O64</f>
        <v>1.12996107729852</v>
      </c>
      <c r="P140" s="192" t="n">
        <f aca="false">Theory_Rev!P64</f>
        <v>1.12996107729852</v>
      </c>
      <c r="Q140" s="192" t="n">
        <f aca="false">Theory_Rev!Q64</f>
        <v>1.12996107729852</v>
      </c>
      <c r="R140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53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54" t="s">
        <v>1977</v>
      </c>
      <c r="U140" s="53" t="str">
        <f aca="false">IF(V140=0,"—",LEFT(TEXT(V140,"0"),4)&amp;"-"&amp;MID(TEXT(V140,"0"),5,2)&amp;"-"&amp;RIGHT(TEXT(V140,"0"),2))</f>
        <v>2026-10-05</v>
      </c>
      <c r="V140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66" t="s">
        <v>2082</v>
      </c>
      <c r="X140" s="104" t="n">
        <f aca="false">IF(ISNUMBER(FIND("上限",S140)),1,0)</f>
        <v>1</v>
      </c>
      <c r="Y140" s="104" t="n">
        <v>1</v>
      </c>
    </row>
    <row r="141" customFormat="false" ht="15" hidden="false" customHeight="true" outlineLevel="0" collapsed="false">
      <c r="A141" s="35" t="s">
        <v>2083</v>
      </c>
      <c r="B141" s="36" t="s">
        <v>1371</v>
      </c>
      <c r="C141" s="192" t="n">
        <f aca="false">Theory_Rev!C65</f>
        <v>1.47721269462479</v>
      </c>
      <c r="D141" s="192" t="n">
        <f aca="false">Theory_Rev!D65</f>
        <v>1.47721269462479</v>
      </c>
      <c r="E141" s="192" t="n">
        <f aca="false">Theory_Rev!E65</f>
        <v>1.47721269462479</v>
      </c>
      <c r="F141" s="192" t="n">
        <f aca="false">Theory_Rev!F65</f>
        <v>7.44145667008259</v>
      </c>
      <c r="G141" s="192" t="n">
        <f aca="false">Theory_Rev!G65</f>
        <v>7.44145667008259</v>
      </c>
      <c r="H141" s="192" t="n">
        <f aca="false">Theory_Rev!H65</f>
        <v>7.44145667008259</v>
      </c>
      <c r="I141" s="192" t="n">
        <f aca="false">Theory_Rev!I65</f>
        <v>9.6879967744709</v>
      </c>
      <c r="J141" s="192" t="n">
        <f aca="false">Theory_Rev!J65</f>
        <v>9.6879967744709</v>
      </c>
      <c r="K141" s="192" t="n">
        <f aca="false">Theory_Rev!K65</f>
        <v>9.6879967744709</v>
      </c>
      <c r="L141" s="192" t="n">
        <f aca="false">Theory_Rev!L65</f>
        <v>17.9718572818009</v>
      </c>
      <c r="M141" s="192" t="n">
        <f aca="false">Theory_Rev!M65</f>
        <v>17.9718572818009</v>
      </c>
      <c r="N141" s="192" t="n">
        <f aca="false">Theory_Rev!N65</f>
        <v>17.9718572818009</v>
      </c>
      <c r="O141" s="192" t="n">
        <f aca="false">Theory_Rev!O65</f>
        <v>25.4241242392166</v>
      </c>
      <c r="P141" s="192" t="n">
        <f aca="false">Theory_Rev!P65</f>
        <v>25.4241242392166</v>
      </c>
      <c r="Q141" s="192" t="n">
        <f aca="false">Theory_Rev!Q65</f>
        <v>25.4241242392166</v>
      </c>
      <c r="R141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53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54" t="s">
        <v>1977</v>
      </c>
      <c r="U141" s="53" t="str">
        <f aca="false">IF(V141=0,"—",LEFT(TEXT(V141,"0"),4)&amp;"-"&amp;MID(TEXT(V141,"0"),5,2)&amp;"-"&amp;RIGHT(TEXT(V141,"0"),2))</f>
        <v>2026-10-05</v>
      </c>
      <c r="V141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66" t="s">
        <v>2082</v>
      </c>
      <c r="X141" s="104" t="n">
        <f aca="false">IF(ISNUMBER(FIND("上限",S141)),1,0)</f>
        <v>1</v>
      </c>
      <c r="Y141" s="104" t="n">
        <v>1</v>
      </c>
    </row>
    <row r="142" customFormat="false" ht="15" hidden="false" customHeight="true" outlineLevel="0" collapsed="false">
      <c r="A142" s="35" t="s">
        <v>2084</v>
      </c>
      <c r="B142" s="36" t="s">
        <v>1371</v>
      </c>
      <c r="C142" s="192" t="n">
        <f aca="false">Theory_Rev!C66</f>
        <v>2.46202115770797</v>
      </c>
      <c r="D142" s="192" t="n">
        <f aca="false">Theory_Rev!D66</f>
        <v>2.46202115770797</v>
      </c>
      <c r="E142" s="192" t="n">
        <f aca="false">Theory_Rev!E66</f>
        <v>2.46202115770797</v>
      </c>
      <c r="F142" s="192" t="n">
        <f aca="false">Theory_Rev!F66</f>
        <v>12.402427783471</v>
      </c>
      <c r="G142" s="192" t="n">
        <f aca="false">Theory_Rev!G66</f>
        <v>12.402427783471</v>
      </c>
      <c r="H142" s="192" t="n">
        <f aca="false">Theory_Rev!H66</f>
        <v>12.402427783471</v>
      </c>
      <c r="I142" s="192" t="n">
        <f aca="false">Theory_Rev!I66</f>
        <v>16.1466612907848</v>
      </c>
      <c r="J142" s="192" t="n">
        <f aca="false">Theory_Rev!J66</f>
        <v>16.1466612907848</v>
      </c>
      <c r="K142" s="192" t="n">
        <f aca="false">Theory_Rev!K66</f>
        <v>16.1466612907848</v>
      </c>
      <c r="L142" s="192" t="n">
        <f aca="false">Theory_Rev!L66</f>
        <v>29.9530954696681</v>
      </c>
      <c r="M142" s="192" t="n">
        <f aca="false">Theory_Rev!M66</f>
        <v>29.9530954696681</v>
      </c>
      <c r="N142" s="192" t="n">
        <f aca="false">Theory_Rev!N66</f>
        <v>29.9530954696681</v>
      </c>
      <c r="O142" s="192" t="n">
        <f aca="false">Theory_Rev!O66</f>
        <v>42.3735403986943</v>
      </c>
      <c r="P142" s="192" t="n">
        <f aca="false">Theory_Rev!P66</f>
        <v>42.3735403986943</v>
      </c>
      <c r="Q142" s="192" t="n">
        <f aca="false">Theory_Rev!Q66</f>
        <v>42.3735403986943</v>
      </c>
      <c r="R142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53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54" t="s">
        <v>1977</v>
      </c>
      <c r="U142" s="53" t="str">
        <f aca="false">IF(V142=0,"—",LEFT(TEXT(V142,"0"),4)&amp;"-"&amp;MID(TEXT(V142,"0"),5,2)&amp;"-"&amp;RIGHT(TEXT(V142,"0"),2))</f>
        <v>2026-10-05</v>
      </c>
      <c r="V142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66" t="s">
        <v>2082</v>
      </c>
      <c r="X142" s="104" t="n">
        <f aca="false">IF(ISNUMBER(FIND("上限",S142)),1,0)</f>
        <v>1</v>
      </c>
      <c r="Y142" s="104" t="n">
        <v>1</v>
      </c>
    </row>
    <row r="143" customFormat="false" ht="15" hidden="false" customHeight="true" outlineLevel="0" collapsed="false">
      <c r="A143" s="35" t="s">
        <v>2085</v>
      </c>
      <c r="B143" s="36" t="s">
        <v>1371</v>
      </c>
      <c r="C143" s="190" t="n">
        <f aca="false">Theory_Rev!C67</f>
        <v>4.00488774987164</v>
      </c>
      <c r="D143" s="190" t="n">
        <f aca="false">Theory_Rev!D67</f>
        <v>4.00488774987164</v>
      </c>
      <c r="E143" s="190" t="n">
        <f aca="false">Theory_Rev!E67</f>
        <v>4.00488774987164</v>
      </c>
      <c r="F143" s="190" t="n">
        <f aca="false">Theory_Rev!F67</f>
        <v>20.1746158611128</v>
      </c>
      <c r="G143" s="190" t="n">
        <f aca="false">Theory_Rev!G67</f>
        <v>20.1746158611128</v>
      </c>
      <c r="H143" s="190" t="n">
        <f aca="false">Theory_Rev!H67</f>
        <v>20.1746158611128</v>
      </c>
      <c r="I143" s="190" t="n">
        <f aca="false">Theory_Rev!I67</f>
        <v>26.2652356996766</v>
      </c>
      <c r="J143" s="190" t="n">
        <f aca="false">Theory_Rev!J67</f>
        <v>26.2652356996766</v>
      </c>
      <c r="K143" s="190" t="n">
        <f aca="false">Theory_Rev!K67</f>
        <v>26.2652356996766</v>
      </c>
      <c r="L143" s="190" t="n">
        <f aca="false">Theory_Rev!L67</f>
        <v>48.7237019639935</v>
      </c>
      <c r="M143" s="190" t="n">
        <f aca="false">Theory_Rev!M67</f>
        <v>48.7237019639935</v>
      </c>
      <c r="N143" s="190" t="n">
        <f aca="false">Theory_Rev!N67</f>
        <v>48.7237019639935</v>
      </c>
      <c r="O143" s="190" t="n">
        <f aca="false">Theory_Rev!O67</f>
        <v>68.9276257152094</v>
      </c>
      <c r="P143" s="190" t="n">
        <f aca="false">Theory_Rev!P67</f>
        <v>68.9276257152094</v>
      </c>
      <c r="Q143" s="190" t="n">
        <f aca="false">Theory_Rev!Q67</f>
        <v>68.9276257152094</v>
      </c>
      <c r="R143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53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54" t="s">
        <v>1977</v>
      </c>
      <c r="U143" s="53" t="str">
        <f aca="false">IF(V143=0,"—",LEFT(TEXT(V143,"0"),4)&amp;"-"&amp;MID(TEXT(V143,"0"),5,2)&amp;"-"&amp;RIGHT(TEXT(V143,"0"),2))</f>
        <v>2026-10-05</v>
      </c>
      <c r="V143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66" t="s">
        <v>2082</v>
      </c>
      <c r="X143" s="104" t="n">
        <f aca="false">IF(ISNUMBER(FIND("上限",S143)),1,0)</f>
        <v>1</v>
      </c>
      <c r="Y143" s="104" t="n">
        <v>1</v>
      </c>
    </row>
    <row r="144" customFormat="false" ht="15" hidden="false" customHeight="true" outlineLevel="0" collapsed="false">
      <c r="A144" s="35" t="s">
        <v>2086</v>
      </c>
      <c r="B144" s="36" t="s">
        <v>1371</v>
      </c>
      <c r="C144" s="192" t="n">
        <f aca="false">Theory_Rev!C68</f>
        <v>0.0656538975388793</v>
      </c>
      <c r="D144" s="192" t="n">
        <f aca="false">Theory_Rev!D68</f>
        <v>0.0656538975388793</v>
      </c>
      <c r="E144" s="192" t="n">
        <f aca="false">Theory_Rev!E68</f>
        <v>0.0656538975388793</v>
      </c>
      <c r="F144" s="192" t="n">
        <f aca="false">Theory_Rev!F68</f>
        <v>0.330731407559226</v>
      </c>
      <c r="G144" s="192" t="n">
        <f aca="false">Theory_Rev!G68</f>
        <v>0.330731407559226</v>
      </c>
      <c r="H144" s="192" t="n">
        <f aca="false">Theory_Rev!H68</f>
        <v>0.330731407559226</v>
      </c>
      <c r="I144" s="192" t="n">
        <f aca="false">Theory_Rev!I68</f>
        <v>0.430577634420929</v>
      </c>
      <c r="J144" s="192" t="n">
        <f aca="false">Theory_Rev!J68</f>
        <v>0.430577634420929</v>
      </c>
      <c r="K144" s="192" t="n">
        <f aca="false">Theory_Rev!K68</f>
        <v>0.430577634420929</v>
      </c>
      <c r="L144" s="192" t="n">
        <f aca="false">Theory_Rev!L68</f>
        <v>0.798749212524483</v>
      </c>
      <c r="M144" s="192" t="n">
        <f aca="false">Theory_Rev!M68</f>
        <v>0.798749212524483</v>
      </c>
      <c r="N144" s="192" t="n">
        <f aca="false">Theory_Rev!N68</f>
        <v>0.798749212524483</v>
      </c>
      <c r="O144" s="192" t="n">
        <f aca="false">Theory_Rev!O68</f>
        <v>1.12996107729852</v>
      </c>
      <c r="P144" s="192" t="n">
        <f aca="false">Theory_Rev!P68</f>
        <v>1.12996107729852</v>
      </c>
      <c r="Q144" s="192" t="n">
        <f aca="false">Theory_Rev!Q68</f>
        <v>1.12996107729852</v>
      </c>
      <c r="R14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53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54" t="s">
        <v>1977</v>
      </c>
      <c r="U144" s="53" t="str">
        <f aca="false">IF(V144=0,"—",LEFT(TEXT(V144,"0"),4)&amp;"-"&amp;MID(TEXT(V144,"0"),5,2)&amp;"-"&amp;RIGHT(TEXT(V144,"0"),2))</f>
        <v>2026-10-05</v>
      </c>
      <c r="V14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66" t="s">
        <v>2087</v>
      </c>
      <c r="X144" s="104" t="n">
        <f aca="false">IF(ISNUMBER(FIND("上限",S144)),1,0)</f>
        <v>1</v>
      </c>
      <c r="Y144" s="104" t="n">
        <v>1</v>
      </c>
    </row>
    <row r="145" customFormat="false" ht="15" hidden="false" customHeight="true" outlineLevel="0" collapsed="false">
      <c r="A145" s="35" t="s">
        <v>2088</v>
      </c>
      <c r="B145" s="36" t="s">
        <v>1371</v>
      </c>
      <c r="C145" s="192" t="n">
        <f aca="false">Theory_Rev!C69</f>
        <v>1.47721269462478</v>
      </c>
      <c r="D145" s="192" t="n">
        <f aca="false">Theory_Rev!D69</f>
        <v>1.47721269462478</v>
      </c>
      <c r="E145" s="192" t="n">
        <f aca="false">Theory_Rev!E69</f>
        <v>1.47721269462478</v>
      </c>
      <c r="F145" s="192" t="n">
        <f aca="false">Theory_Rev!F69</f>
        <v>7.44145667008259</v>
      </c>
      <c r="G145" s="192" t="n">
        <f aca="false">Theory_Rev!G69</f>
        <v>7.44145667008259</v>
      </c>
      <c r="H145" s="192" t="n">
        <f aca="false">Theory_Rev!H69</f>
        <v>7.44145667008259</v>
      </c>
      <c r="I145" s="192" t="n">
        <f aca="false">Theory_Rev!I69</f>
        <v>9.68799677447089</v>
      </c>
      <c r="J145" s="192" t="n">
        <f aca="false">Theory_Rev!J69</f>
        <v>9.68799677447089</v>
      </c>
      <c r="K145" s="192" t="n">
        <f aca="false">Theory_Rev!K69</f>
        <v>9.68799677447089</v>
      </c>
      <c r="L145" s="192" t="n">
        <f aca="false">Theory_Rev!L69</f>
        <v>17.9718572818009</v>
      </c>
      <c r="M145" s="192" t="n">
        <f aca="false">Theory_Rev!M69</f>
        <v>17.9718572818009</v>
      </c>
      <c r="N145" s="192" t="n">
        <f aca="false">Theory_Rev!N69</f>
        <v>17.9718572818009</v>
      </c>
      <c r="O145" s="192" t="n">
        <f aca="false">Theory_Rev!O69</f>
        <v>25.4241242392166</v>
      </c>
      <c r="P145" s="192" t="n">
        <f aca="false">Theory_Rev!P69</f>
        <v>25.4241242392166</v>
      </c>
      <c r="Q145" s="192" t="n">
        <f aca="false">Theory_Rev!Q69</f>
        <v>25.4241242392166</v>
      </c>
      <c r="R145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53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54" t="s">
        <v>1977</v>
      </c>
      <c r="U145" s="53" t="str">
        <f aca="false">IF(V145=0,"—",LEFT(TEXT(V145,"0"),4)&amp;"-"&amp;MID(TEXT(V145,"0"),5,2)&amp;"-"&amp;RIGHT(TEXT(V145,"0"),2))</f>
        <v>2026-10-05</v>
      </c>
      <c r="V145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66" t="s">
        <v>2087</v>
      </c>
      <c r="X145" s="104" t="n">
        <f aca="false">IF(ISNUMBER(FIND("上限",S145)),1,0)</f>
        <v>1</v>
      </c>
      <c r="Y145" s="104" t="n">
        <v>1</v>
      </c>
    </row>
    <row r="146" customFormat="false" ht="15" hidden="false" customHeight="true" outlineLevel="0" collapsed="false">
      <c r="A146" s="35" t="s">
        <v>2089</v>
      </c>
      <c r="B146" s="36" t="s">
        <v>1371</v>
      </c>
      <c r="C146" s="192" t="n">
        <f aca="false">Theory_Rev!C70</f>
        <v>2.37214649155271</v>
      </c>
      <c r="D146" s="192" t="n">
        <f aca="false">Theory_Rev!D70</f>
        <v>2.37214649155271</v>
      </c>
      <c r="E146" s="192" t="n">
        <f aca="false">Theory_Rev!E70</f>
        <v>2.37214649155271</v>
      </c>
      <c r="F146" s="192" t="n">
        <f aca="false">Theory_Rev!F70</f>
        <v>11.9496842913752</v>
      </c>
      <c r="G146" s="192" t="n">
        <f aca="false">Theory_Rev!G70</f>
        <v>11.9496842913752</v>
      </c>
      <c r="H146" s="192" t="n">
        <f aca="false">Theory_Rev!H70</f>
        <v>11.9496842913752</v>
      </c>
      <c r="I146" s="192" t="n">
        <f aca="false">Theory_Rev!I70</f>
        <v>15.5572367082672</v>
      </c>
      <c r="J146" s="192" t="n">
        <f aca="false">Theory_Rev!J70</f>
        <v>15.5572367082672</v>
      </c>
      <c r="K146" s="192" t="n">
        <f aca="false">Theory_Rev!K70</f>
        <v>15.5572367082672</v>
      </c>
      <c r="L146" s="192" t="n">
        <f aca="false">Theory_Rev!L70</f>
        <v>28.8596749492046</v>
      </c>
      <c r="M146" s="192" t="n">
        <f aca="false">Theory_Rev!M70</f>
        <v>28.8596749492046</v>
      </c>
      <c r="N146" s="192" t="n">
        <f aca="false">Theory_Rev!N70</f>
        <v>28.8596749492046</v>
      </c>
      <c r="O146" s="192" t="n">
        <f aca="false">Theory_Rev!O70</f>
        <v>40.8267186806004</v>
      </c>
      <c r="P146" s="192" t="n">
        <f aca="false">Theory_Rev!P70</f>
        <v>40.8267186806004</v>
      </c>
      <c r="Q146" s="192" t="n">
        <f aca="false">Theory_Rev!Q70</f>
        <v>40.8267186806004</v>
      </c>
      <c r="R146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53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54" t="s">
        <v>1977</v>
      </c>
      <c r="U146" s="53" t="str">
        <f aca="false">IF(V146=0,"—",LEFT(TEXT(V146,"0"),4)&amp;"-"&amp;MID(TEXT(V146,"0"),5,2)&amp;"-"&amp;RIGHT(TEXT(V146,"0"),2))</f>
        <v>2026-10-05</v>
      </c>
      <c r="V146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66" t="s">
        <v>2087</v>
      </c>
      <c r="X146" s="104" t="n">
        <f aca="false">IF(ISNUMBER(FIND("上限",S146)),1,0)</f>
        <v>1</v>
      </c>
      <c r="Y146" s="104" t="n">
        <v>1</v>
      </c>
    </row>
    <row r="147" customFormat="false" ht="15" hidden="false" customHeight="true" outlineLevel="0" collapsed="false">
      <c r="A147" s="35" t="s">
        <v>2090</v>
      </c>
      <c r="B147" s="36" t="s">
        <v>1371</v>
      </c>
      <c r="C147" s="190" t="n">
        <f aca="false">Theory_Rev!C71</f>
        <v>3.91501308371637</v>
      </c>
      <c r="D147" s="190" t="n">
        <f aca="false">Theory_Rev!D71</f>
        <v>3.91501308371637</v>
      </c>
      <c r="E147" s="190" t="n">
        <f aca="false">Theory_Rev!E71</f>
        <v>3.91501308371637</v>
      </c>
      <c r="F147" s="190" t="n">
        <f aca="false">Theory_Rev!F71</f>
        <v>19.7218723690171</v>
      </c>
      <c r="G147" s="190" t="n">
        <f aca="false">Theory_Rev!G71</f>
        <v>19.7218723690171</v>
      </c>
      <c r="H147" s="190" t="n">
        <f aca="false">Theory_Rev!H71</f>
        <v>19.7218723690171</v>
      </c>
      <c r="I147" s="190" t="n">
        <f aca="false">Theory_Rev!I71</f>
        <v>25.6758111171591</v>
      </c>
      <c r="J147" s="190" t="n">
        <f aca="false">Theory_Rev!J71</f>
        <v>25.6758111171591</v>
      </c>
      <c r="K147" s="190" t="n">
        <f aca="false">Theory_Rev!K71</f>
        <v>25.6758111171591</v>
      </c>
      <c r="L147" s="190" t="n">
        <f aca="false">Theory_Rev!L71</f>
        <v>47.6302814435299</v>
      </c>
      <c r="M147" s="190" t="n">
        <f aca="false">Theory_Rev!M71</f>
        <v>47.6302814435299</v>
      </c>
      <c r="N147" s="190" t="n">
        <f aca="false">Theory_Rev!N71</f>
        <v>47.6302814435299</v>
      </c>
      <c r="O147" s="190" t="n">
        <f aca="false">Theory_Rev!O71</f>
        <v>67.3808039971155</v>
      </c>
      <c r="P147" s="190" t="n">
        <f aca="false">Theory_Rev!P71</f>
        <v>67.3808039971155</v>
      </c>
      <c r="Q147" s="190" t="n">
        <f aca="false">Theory_Rev!Q71</f>
        <v>67.3808039971155</v>
      </c>
      <c r="R147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53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54" t="s">
        <v>1977</v>
      </c>
      <c r="U147" s="53" t="str">
        <f aca="false">IF(V147=0,"—",LEFT(TEXT(V147,"0"),4)&amp;"-"&amp;MID(TEXT(V147,"0"),5,2)&amp;"-"&amp;RIGHT(TEXT(V147,"0"),2))</f>
        <v>2026-10-05</v>
      </c>
      <c r="V147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66" t="s">
        <v>2087</v>
      </c>
      <c r="X147" s="104" t="n">
        <f aca="false">IF(ISNUMBER(FIND("上限",S147)),1,0)</f>
        <v>1</v>
      </c>
      <c r="Y147" s="104" t="n">
        <v>1</v>
      </c>
    </row>
    <row r="148" customFormat="false" ht="15" hidden="false" customHeight="true" outlineLevel="0" collapsed="false">
      <c r="A148" s="35" t="s">
        <v>2091</v>
      </c>
      <c r="B148" s="36" t="s">
        <v>79</v>
      </c>
      <c r="C148" s="193" t="n">
        <f aca="false">B4_Serve</f>
        <v>0.41</v>
      </c>
      <c r="R148" s="85" t="str">
        <f aca="false">IF(SUM(Gov_Map!$AG$457)&gt;0,"C",IF(SUM(Gov_Map!$AH$457)&gt;0,"B","A"))</f>
        <v>B</v>
      </c>
      <c r="S148" s="53" t="str">
        <f aca="false">IF(R148="—","—",IF(R148="A","基準輸入",IF(R148="B","情境、相對比較、反轉門檻","探索")))</f>
        <v>情境、相對比較、反轉門檻</v>
      </c>
      <c r="T148" s="54" t="s">
        <v>587</v>
      </c>
      <c r="U148" s="53" t="str">
        <f aca="false">IF(V148=0,"—",LEFT(TEXT(V148,"0"),4)&amp;"-"&amp;MID(TEXT(V148,"0"),5,2)&amp;"-"&amp;RIGHT(TEXT(V148,"0"),2))</f>
        <v>—</v>
      </c>
      <c r="V148" s="82" t="n">
        <f aca="false">MAX(Gov_Map!$AJ$457)</f>
        <v>0</v>
      </c>
      <c r="W148" s="66" t="s">
        <v>2092</v>
      </c>
      <c r="X148" s="104" t="n">
        <f aca="false">IF(ISNUMBER(FIND("上限",S148)),1,0)</f>
        <v>0</v>
      </c>
      <c r="Y148" s="104" t="n">
        <v>0</v>
      </c>
    </row>
    <row r="149" customFormat="false" ht="15" hidden="false" customHeight="true" outlineLevel="0" collapsed="false">
      <c r="A149" s="35" t="s">
        <v>2093</v>
      </c>
      <c r="B149" s="36" t="s">
        <v>79</v>
      </c>
      <c r="C149" s="193" t="n">
        <f aca="false">B4_Free</f>
        <v>0.46</v>
      </c>
      <c r="R149" s="85" t="str">
        <f aca="false">IF(SUM(Gov_Map!$AG$459)&gt;0,"C",IF(SUM(Gov_Map!$AH$459)&gt;0,"B","A"))</f>
        <v>B</v>
      </c>
      <c r="S149" s="53" t="str">
        <f aca="false">IF(R149="—","—",IF(R149="A","基準輸入",IF(R149="B","情境、相對比較、反轉門檻","探索")))</f>
        <v>情境、相對比較、反轉門檻</v>
      </c>
      <c r="T149" s="54" t="s">
        <v>587</v>
      </c>
      <c r="U149" s="53" t="str">
        <f aca="false">IF(V149=0,"—",LEFT(TEXT(V149,"0"),4)&amp;"-"&amp;MID(TEXT(V149,"0"),5,2)&amp;"-"&amp;RIGHT(TEXT(V149,"0"),2))</f>
        <v>—</v>
      </c>
      <c r="V149" s="82" t="n">
        <f aca="false">MAX(Gov_Map!$AJ$459)</f>
        <v>0</v>
      </c>
      <c r="W149" s="66" t="s">
        <v>2094</v>
      </c>
      <c r="X149" s="104" t="n">
        <f aca="false">IF(ISNUMBER(FIND("上限",S149)),1,0)</f>
        <v>0</v>
      </c>
      <c r="Y149" s="104" t="n">
        <v>0</v>
      </c>
    </row>
    <row r="151" customFormat="false" ht="15" hidden="false" customHeight="true" outlineLevel="0" collapsed="false">
      <c r="A151" s="34" t="s">
        <v>2095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2096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  <c r="R152" s="66" t="s">
        <v>2097</v>
      </c>
      <c r="S152" s="54" t="s">
        <v>587</v>
      </c>
      <c r="T152" s="54" t="s">
        <v>587</v>
      </c>
      <c r="U152" s="54" t="s">
        <v>587</v>
      </c>
    </row>
    <row r="153" customFormat="false" ht="15" hidden="false" customHeight="true" outlineLevel="0" collapsed="false">
      <c r="A153" s="36" t="s">
        <v>2098</v>
      </c>
      <c r="B153" s="36" t="s">
        <v>83</v>
      </c>
      <c r="C153" s="194" t="n">
        <f aca="false">B5_W</f>
        <v>0</v>
      </c>
      <c r="R153" s="85" t="str">
        <f aca="false">IF(SUM(Gov_Map!$AG$521:$AG$522)&gt;0,"C",IF(SUM(Gov_Map!$AH$521:$AH$522)&gt;0,"B","A"))</f>
        <v>A</v>
      </c>
      <c r="S153" s="53" t="str">
        <f aca="false">IF(R153="—","—",IF(R153="A","基準輸入",IF(R153="B","情境、相對比較、反轉門檻","探索")))</f>
        <v>基準輸入</v>
      </c>
      <c r="T153" s="54" t="s">
        <v>587</v>
      </c>
      <c r="U153" s="53" t="str">
        <f aca="false">IF(V153=0,"—",LEFT(TEXT(V153,"0"),4)&amp;"-"&amp;MID(TEXT(V153,"0"),5,2)&amp;"-"&amp;RIGHT(TEXT(V153,"0"),2))</f>
        <v>—</v>
      </c>
      <c r="V153" s="82" t="n">
        <f aca="false">MAX(Gov_Map!$AJ$521:$AJ$522)</f>
        <v>0</v>
      </c>
      <c r="W153" s="66" t="s">
        <v>2099</v>
      </c>
      <c r="X153" s="104" t="n">
        <f aca="false">IF(ISNUMBER(FIND("上限",S153)),1,0)</f>
        <v>0</v>
      </c>
      <c r="Y153" s="104" t="n">
        <v>0</v>
      </c>
    </row>
    <row r="154" customFormat="false" ht="15" hidden="false" customHeight="true" outlineLevel="0" collapsed="false">
      <c r="A154" s="35" t="s">
        <v>2100</v>
      </c>
      <c r="B154" s="35"/>
      <c r="C154" s="35" t="str">
        <f aca="false">B5_ProfileName</f>
        <v>供應商原生增強（保留推理狀態＋上下文壓縮）</v>
      </c>
      <c r="R154" s="85" t="str">
        <f aca="false">IF(SUM(Gov_Map!$AG$483)&gt;0,"C",IF(SUM(Gov_Map!$AH$483)&gt;0,"B","A"))</f>
        <v>A</v>
      </c>
      <c r="S154" s="53" t="str">
        <f aca="false">IF(R154="—","—",IF(R154="A","基準輸入",IF(R154="B","情境、相對比較、反轉門檻","探索")))</f>
        <v>基準輸入</v>
      </c>
      <c r="T154" s="54" t="s">
        <v>587</v>
      </c>
      <c r="U154" s="53" t="str">
        <f aca="false">IF(V154=0,"—",LEFT(TEXT(V154,"0"),4)&amp;"-"&amp;MID(TEXT(V154,"0"),5,2)&amp;"-"&amp;RIGHT(TEXT(V154,"0"),2))</f>
        <v>—</v>
      </c>
      <c r="V154" s="82" t="n">
        <f aca="false">MAX(Gov_Map!$AJ$483)</f>
        <v>0</v>
      </c>
      <c r="W154" s="66" t="s">
        <v>2014</v>
      </c>
      <c r="X154" s="104" t="n">
        <f aca="false">IF(ISNUMBER(FIND("上限",S154)),1,0)</f>
        <v>0</v>
      </c>
      <c r="Y154" s="104" t="n">
        <v>0</v>
      </c>
    </row>
    <row r="155" customFormat="false" ht="15" hidden="false" customHeight="true" outlineLevel="0" collapsed="false">
      <c r="A155" s="35" t="s">
        <v>2101</v>
      </c>
      <c r="B155" s="36" t="s">
        <v>1128</v>
      </c>
      <c r="C155" s="194" t="n">
        <f aca="false">INDEX(B5_TaskLen,1,1)</f>
        <v>0.02</v>
      </c>
      <c r="D155" s="194" t="n">
        <f aca="false">INDEX(B5_TaskLen,1,2)</f>
        <v>0.1</v>
      </c>
      <c r="E155" s="194" t="n">
        <f aca="false">INDEX(B5_TaskLen,1,3)</f>
        <v>0.5</v>
      </c>
      <c r="F155" s="194" t="n">
        <f aca="false">INDEX(B5_TaskLen,1,4)</f>
        <v>2</v>
      </c>
      <c r="G155" s="194" t="n">
        <f aca="false">INDEX(B5_TaskLen,1,5)</f>
        <v>8</v>
      </c>
      <c r="R155" s="85" t="str">
        <f aca="false">IF(SUM(Gov_Map!$AG$508)&gt;0,"C",IF(SUM(Gov_Map!$AH$508)&gt;0,"B","A"))</f>
        <v>A</v>
      </c>
      <c r="S155" s="53" t="str">
        <f aca="false">IF(R155="—","—",IF(R155="A","基準輸入",IF(R155="B","情境、相對比較、反轉門檻","探索")))</f>
        <v>基準輸入</v>
      </c>
      <c r="T155" s="54" t="s">
        <v>587</v>
      </c>
      <c r="U155" s="53" t="str">
        <f aca="false">IF(V155=0,"—",LEFT(TEXT(V155,"0"),4)&amp;"-"&amp;MID(TEXT(V155,"0"),5,2)&amp;"-"&amp;RIGHT(TEXT(V155,"0"),2))</f>
        <v>—</v>
      </c>
      <c r="V155" s="82" t="n">
        <f aca="false">MAX(Gov_Map!$AJ$508)</f>
        <v>0</v>
      </c>
      <c r="W155" s="66" t="s">
        <v>2014</v>
      </c>
      <c r="X155" s="104" t="n">
        <f aca="false">IF(ISNUMBER(FIND("上限",S155)),1,0)</f>
        <v>0</v>
      </c>
      <c r="Y155" s="104" t="n">
        <v>0</v>
      </c>
    </row>
    <row r="156" customFormat="false" ht="15" hidden="false" customHeight="true" outlineLevel="0" collapsed="false">
      <c r="A156" s="35" t="s">
        <v>2102</v>
      </c>
      <c r="B156" s="36" t="s">
        <v>257</v>
      </c>
      <c r="C156" s="41" t="n">
        <f aca="false">Harness!C41</f>
        <v>1500</v>
      </c>
      <c r="D156" s="41" t="n">
        <f aca="false">Harness!D41</f>
        <v>1500</v>
      </c>
      <c r="E156" s="41" t="n">
        <f aca="false">Harness!E41</f>
        <v>6840</v>
      </c>
      <c r="F156" s="41" t="n">
        <f aca="false">Harness!F41</f>
        <v>27360</v>
      </c>
      <c r="G156" s="41" t="n">
        <f aca="false">Harness!G41</f>
        <v>200400</v>
      </c>
      <c r="R156" s="85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6" s="53" t="str">
        <f aca="false">IF(R156="—","—",IF(R156="A","基準輸入",IF(R156="B","情境、相對比較、反轉門檻","探索")))</f>
        <v>情境、相對比較、反轉門檻</v>
      </c>
      <c r="T156" s="54" t="s">
        <v>587</v>
      </c>
      <c r="U156" s="53" t="str">
        <f aca="false">IF(V156=0,"—",LEFT(TEXT(V156,"0"),4)&amp;"-"&amp;MID(TEXT(V156,"0"),5,2)&amp;"-"&amp;RIGHT(TEXT(V156,"0"),2))</f>
        <v>—</v>
      </c>
      <c r="V156" s="82" t="n">
        <f aca="false">MAX(Gov_Map!$AJ$255:$AJ$304,Gov_Map!$AJ$483,Gov_Map!$AJ$485:$AJ$490,Gov_Map!$AJ$494:$AJ$498,Gov_Map!$AJ$502,Gov_Map!$AJ$521:$AJ$522)</f>
        <v>0</v>
      </c>
      <c r="W156" s="66" t="s">
        <v>2103</v>
      </c>
      <c r="X156" s="104" t="n">
        <f aca="false">IF(ISNUMBER(FIND("上限",S156)),1,0)</f>
        <v>0</v>
      </c>
      <c r="Y156" s="104" t="n">
        <v>0</v>
      </c>
    </row>
    <row r="157" customFormat="false" ht="15" hidden="false" customHeight="true" outlineLevel="0" collapsed="false">
      <c r="A157" s="35" t="s">
        <v>2104</v>
      </c>
      <c r="B157" s="36" t="s">
        <v>257</v>
      </c>
      <c r="C157" s="41" t="n">
        <f aca="false">Harness!C42</f>
        <v>1000</v>
      </c>
      <c r="D157" s="41" t="n">
        <f aca="false">Harness!D42</f>
        <v>1000</v>
      </c>
      <c r="E157" s="41" t="n">
        <f aca="false">Harness!E42</f>
        <v>18360</v>
      </c>
      <c r="F157" s="41" t="n">
        <f aca="false">Harness!F42</f>
        <v>73440</v>
      </c>
      <c r="G157" s="41" t="n">
        <f aca="false">Harness!G42</f>
        <v>1263600</v>
      </c>
      <c r="R157" s="85" t="str">
        <f aca="false">IF(SUM(Gov_Map!$AG$255:$AG$304,Gov_Map!$AG$483,Gov_Map!$AG$485:$AG$490,Gov_Map!$AG$494:$AG$498,Gov_Map!$AG$502,Gov_Map!$AG$521:$AG$522)&gt;0,"C",IF(SUM(Gov_Map!$AH$255:$AH$304,Gov_Map!$AH$483,Gov_Map!$AH$485:$AH$490,Gov_Map!$AH$494:$AH$498,Gov_Map!$AH$502,Gov_Map!$AH$521:$AH$522)&gt;0,"B","A"))</f>
        <v>B</v>
      </c>
      <c r="S157" s="53" t="str">
        <f aca="false">IF(R157="—","—",IF(R157="A","基準輸入",IF(R157="B","情境、相對比較、反轉門檻","探索")))</f>
        <v>情境、相對比較、反轉門檻</v>
      </c>
      <c r="T157" s="54" t="s">
        <v>587</v>
      </c>
      <c r="U157" s="53" t="str">
        <f aca="false">IF(V157=0,"—",LEFT(TEXT(V157,"0"),4)&amp;"-"&amp;MID(TEXT(V157,"0"),5,2)&amp;"-"&amp;RIGHT(TEXT(V157,"0"),2))</f>
        <v>—</v>
      </c>
      <c r="V157" s="82" t="n">
        <f aca="false">MAX(Gov_Map!$AJ$255:$AJ$304,Gov_Map!$AJ$483,Gov_Map!$AJ$485:$AJ$490,Gov_Map!$AJ$494:$AJ$498,Gov_Map!$AJ$502,Gov_Map!$AJ$521:$AJ$522)</f>
        <v>0</v>
      </c>
      <c r="W157" s="66" t="s">
        <v>2103</v>
      </c>
      <c r="X157" s="104" t="n">
        <f aca="false">IF(ISNUMBER(FIND("上限",S157)),1,0)</f>
        <v>0</v>
      </c>
      <c r="Y157" s="104" t="n">
        <v>0</v>
      </c>
    </row>
    <row r="158" customFormat="false" ht="15" hidden="false" customHeight="true" outlineLevel="0" collapsed="false">
      <c r="A158" s="35" t="s">
        <v>2105</v>
      </c>
      <c r="B158" s="36" t="s">
        <v>257</v>
      </c>
      <c r="C158" s="41" t="n">
        <f aca="false">Harness!C43</f>
        <v>500</v>
      </c>
      <c r="D158" s="41" t="n">
        <f aca="false">Harness!D43</f>
        <v>3700</v>
      </c>
      <c r="E158" s="41" t="n">
        <f aca="false">Harness!E43</f>
        <v>2400</v>
      </c>
      <c r="F158" s="41" t="n">
        <f aca="false">Harness!F43</f>
        <v>9600</v>
      </c>
      <c r="G158" s="41" t="n">
        <f aca="false">Harness!G43</f>
        <v>30000</v>
      </c>
      <c r="R158" s="85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$522)&gt;0,"B","A"))</f>
        <v>B</v>
      </c>
      <c r="S158" s="53" t="str">
        <f aca="false">IF(R158="—","—",IF(R158="A","基準輸入",IF(R158="B","情境、相對比較、反轉門檻","探索")))</f>
        <v>情境、相對比較、反轉門檻</v>
      </c>
      <c r="T158" s="54" t="s">
        <v>587</v>
      </c>
      <c r="U158" s="53" t="str">
        <f aca="false">IF(V158=0,"—",LEFT(TEXT(V158,"0"),4)&amp;"-"&amp;MID(TEXT(V158,"0"),5,2)&amp;"-"&amp;RIGHT(TEXT(V158,"0"),2))</f>
        <v>—</v>
      </c>
      <c r="V158" s="82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MAX(Gov_Map!$AJ$255:$AJ$259,Gov_Map!$AJ$270:$AJ$279,Gov_Map!$AJ$290:$AJ$295,Gov_Map!$AJ$297,Gov_Map!$AJ$299,Gov_Map!$AJ$301,Gov_Map!$AJ$303,Gov_Map!$AJ$483,Gov_Map!$AJ$485,Gov_Map!$AJ$487,Gov_Map!$AJ$490,Gov_Map!$AJ$494,Gov_Map!$AJ$496,Gov_Map!$AJ$502,Gov_Map!$AJ$521:$AJ$522)</f>
        <v>0</v>
      </c>
      <c r="W158" s="66" t="s">
        <v>2106</v>
      </c>
      <c r="X158" s="104" t="n">
        <f aca="false">IF(ISNUMBER(FIND("上限",S158)),1,0)</f>
        <v>0</v>
      </c>
      <c r="Y158" s="104" t="n">
        <v>0</v>
      </c>
    </row>
    <row r="159" customFormat="false" ht="15" hidden="false" customHeight="true" outlineLevel="0" collapsed="false">
      <c r="A159" s="35" t="s">
        <v>2107</v>
      </c>
      <c r="B159" s="36" t="s">
        <v>257</v>
      </c>
      <c r="C159" s="41" t="n">
        <f aca="false">Harness!C38</f>
        <v>3000</v>
      </c>
      <c r="D159" s="41" t="n">
        <f aca="false">Harness!D38</f>
        <v>6200</v>
      </c>
      <c r="E159" s="41" t="n">
        <f aca="false">Harness!E38</f>
        <v>16250.08</v>
      </c>
      <c r="F159" s="41" t="n">
        <f aca="false">Harness!F38</f>
        <v>65000.32</v>
      </c>
      <c r="G159" s="41" t="n">
        <f aca="false">Harness!G38</f>
        <v>735840</v>
      </c>
      <c r="R159" s="85" t="str">
        <f aca="false">IF(SUM(Gov_Map!$AG$255:$AG$279,Gov_Map!$AG$285:$AG$295,Gov_Map!$AG$297,Gov_Map!$AG$299,Gov_Map!$AG$301,Gov_Map!$AG$303,Gov_Map!$AG$483,Gov_Map!$AG$485:$AG$490,Gov_Map!$AG$494:$AG$498,Gov_Map!$AG$502)&gt;0,"C",IF(SUM(Gov_Map!$AH$255:$AH$279,Gov_Map!$AH$285:$AH$295,Gov_Map!$AH$297,Gov_Map!$AH$299,Gov_Map!$AH$301,Gov_Map!$AH$303,Gov_Map!$AH$483,Gov_Map!$AH$485:$AH$490,Gov_Map!$AH$494:$AH$498,Gov_Map!$AH$502)&gt;0,"B","A"))</f>
        <v>B</v>
      </c>
      <c r="S159" s="53" t="str">
        <f aca="false">IF(R159="—","—",IF(R159="A","基準輸入",IF(R159="B","情境、相對比較、反轉門檻","探索")))</f>
        <v>情境、相對比較、反轉門檻</v>
      </c>
      <c r="T159" s="54" t="s">
        <v>587</v>
      </c>
      <c r="U159" s="53" t="str">
        <f aca="false">IF(V159=0,"—",LEFT(TEXT(V159,"0"),4)&amp;"-"&amp;MID(TEXT(V159,"0"),5,2)&amp;"-"&amp;RIGHT(TEXT(V159,"0"),2))</f>
        <v>—</v>
      </c>
      <c r="V159" s="82" t="n">
        <f aca="false">MAX(Gov_Map!$AJ$255:$AJ$279,Gov_Map!$AJ$285:$AJ$295,Gov_Map!$AJ$297,Gov_Map!$AJ$299,Gov_Map!$AJ$301,Gov_Map!$AJ$303,Gov_Map!$AJ$483,Gov_Map!$AJ$485:$AJ$490,Gov_Map!$AJ$494:$AJ$498,Gov_Map!$AJ$502)</f>
        <v>0</v>
      </c>
      <c r="W159" s="66" t="s">
        <v>2108</v>
      </c>
      <c r="X159" s="104" t="n">
        <f aca="false">IF(ISNUMBER(FIND("上限",S159)),1,0)</f>
        <v>0</v>
      </c>
      <c r="Y159" s="104" t="n">
        <v>0</v>
      </c>
    </row>
    <row r="160" customFormat="false" ht="15" hidden="false" customHeight="true" outlineLevel="0" collapsed="false">
      <c r="A160" s="35" t="s">
        <v>2109</v>
      </c>
      <c r="B160" s="36" t="s">
        <v>83</v>
      </c>
      <c r="C160" s="175" t="n">
        <f aca="false">Harness!C45</f>
        <v>1</v>
      </c>
      <c r="D160" s="175" t="n">
        <f aca="false">Harness!D45</f>
        <v>1</v>
      </c>
      <c r="E160" s="175" t="n">
        <f aca="false">Harness!E45</f>
        <v>0.588771014492754</v>
      </c>
      <c r="F160" s="175" t="n">
        <f aca="false">Harness!F45</f>
        <v>0.588771014492754</v>
      </c>
      <c r="G160" s="175" t="n">
        <f aca="false">Harness!G45</f>
        <v>0.492530120481928</v>
      </c>
      <c r="R160" s="85" t="str">
        <f aca="false">IF(SUM(Gov_Map!$AG$255:$AG$304,Gov_Map!$AG$483,Gov_Map!$AG$485:$AG$490,Gov_Map!$AG$494:$AG$498,Gov_Map!$AG$502)&gt;0,"C",IF(SUM(Gov_Map!$AH$255:$AH$304,Gov_Map!$AH$483,Gov_Map!$AH$485:$AH$490,Gov_Map!$AH$494:$AH$498,Gov_Map!$AH$502)&gt;0,"B","A"))</f>
        <v>B</v>
      </c>
      <c r="S160" s="53" t="str">
        <f aca="false">IF(R160="—","—",IF(R160="A","基準輸入",IF(R160="B","情境、相對比較、反轉門檻","探索")))</f>
        <v>情境、相對比較、反轉門檻</v>
      </c>
      <c r="T160" s="54" t="s">
        <v>587</v>
      </c>
      <c r="U160" s="53" t="str">
        <f aca="false">IF(V160=0,"—",LEFT(TEXT(V160,"0"),4)&amp;"-"&amp;MID(TEXT(V160,"0"),5,2)&amp;"-"&amp;RIGHT(TEXT(V160,"0"),2))</f>
        <v>—</v>
      </c>
      <c r="V160" s="82" t="n">
        <f aca="false">MAX(Gov_Map!$AJ$255:$AJ$304,Gov_Map!$AJ$483,Gov_Map!$AJ$485:$AJ$490,Gov_Map!$AJ$494:$AJ$498,Gov_Map!$AJ$502)</f>
        <v>0</v>
      </c>
      <c r="W160" s="66" t="s">
        <v>2110</v>
      </c>
      <c r="X160" s="104" t="n">
        <f aca="false">IF(ISNUMBER(FIND("上限",S160)),1,0)</f>
        <v>0</v>
      </c>
      <c r="Y160" s="104" t="n">
        <v>0</v>
      </c>
    </row>
    <row r="161" customFormat="false" ht="15" hidden="false" customHeight="true" outlineLevel="0" collapsed="false">
      <c r="A161" s="8" t="s">
        <v>227</v>
      </c>
    </row>
    <row r="162" customFormat="false" ht="15" hidden="false" customHeight="true" outlineLevel="0" collapsed="false">
      <c r="A162" s="35" t="s">
        <v>2111</v>
      </c>
      <c r="B162" s="36" t="s">
        <v>79</v>
      </c>
      <c r="C162" s="179" t="n">
        <f aca="false">Harness!C57</f>
        <v>0.962243725044712</v>
      </c>
      <c r="D162" s="179" t="n">
        <f aca="false">Harness!D57</f>
        <v>0.884017511243649</v>
      </c>
      <c r="E162" s="179" t="n">
        <f aca="false">Harness!E57</f>
        <v>0.695076124968439</v>
      </c>
      <c r="F162" s="179" t="n">
        <f aca="false">Harness!F57</f>
        <v>0.446267899285204</v>
      </c>
      <c r="G162" s="179" t="n">
        <f aca="false">Harness!G57</f>
        <v>0.221752565013566</v>
      </c>
      <c r="R162" s="8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53" t="str">
        <f aca="false">IF(R162="—","—",IF(R162="A","基準輸入",IF(R162="B","情境、相對比較、反轉門檻","探索")))</f>
        <v>基準輸入</v>
      </c>
      <c r="T162" s="54" t="s">
        <v>587</v>
      </c>
      <c r="U162" s="53" t="str">
        <f aca="false">IF(V162=0,"—",LEFT(TEXT(V162,"0"),4)&amp;"-"&amp;MID(TEXT(V162,"0"),5,2)&amp;"-"&amp;RIGHT(TEXT(V162,"0"),2))</f>
        <v>—</v>
      </c>
      <c r="V162" s="82" t="n">
        <f aca="false">MAX(Gov_Map!$AJ$483,Gov_Map!$AJ$491,Gov_Map!$AJ$500,Gov_Map!$AJ$503,Gov_Map!$AJ$506,Gov_Map!$AJ$508,Gov_Map!$AJ$521:$AJ$522)</f>
        <v>0</v>
      </c>
      <c r="W162" s="66" t="s">
        <v>2112</v>
      </c>
      <c r="X162" s="104" t="n">
        <f aca="false">IF(ISNUMBER(FIND("上限",S162)),1,0)</f>
        <v>0</v>
      </c>
      <c r="Y162" s="104" t="n">
        <v>0</v>
      </c>
    </row>
    <row r="163" customFormat="false" ht="15" hidden="false" customHeight="true" outlineLevel="0" collapsed="false">
      <c r="A163" s="35" t="s">
        <v>2113</v>
      </c>
      <c r="B163" s="36" t="s">
        <v>79</v>
      </c>
      <c r="C163" s="179" t="n">
        <f aca="false">Harness!C58</f>
        <v>0.962243725044712</v>
      </c>
      <c r="D163" s="179" t="n">
        <f aca="false">Harness!D58</f>
        <v>0.884017511243649</v>
      </c>
      <c r="E163" s="179" t="n">
        <f aca="false">Harness!E58</f>
        <v>0.723262011773013</v>
      </c>
      <c r="F163" s="179" t="n">
        <f aca="false">Harness!F58</f>
        <v>0.575444203093429</v>
      </c>
      <c r="G163" s="179" t="n">
        <f aca="false">Harness!G58</f>
        <v>0.323962245896112</v>
      </c>
      <c r="R163" s="8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53" t="str">
        <f aca="false">IF(R163="—","—",IF(R163="A","基準輸入",IF(R163="B","情境、相對比較、反轉門檻","探索")))</f>
        <v>基準輸入</v>
      </c>
      <c r="T163" s="54" t="s">
        <v>587</v>
      </c>
      <c r="U163" s="53" t="str">
        <f aca="false">IF(V163=0,"—",LEFT(TEXT(V163,"0"),4)&amp;"-"&amp;MID(TEXT(V163,"0"),5,2)&amp;"-"&amp;RIGHT(TEXT(V163,"0"),2))</f>
        <v>—</v>
      </c>
      <c r="V163" s="82" t="n">
        <f aca="false">MAX(Gov_Map!$AJ$483,Gov_Map!$AJ$491,Gov_Map!$AJ$500,Gov_Map!$AJ$503,Gov_Map!$AJ$506,Gov_Map!$AJ$508)</f>
        <v>0</v>
      </c>
      <c r="W163" s="66" t="s">
        <v>2114</v>
      </c>
      <c r="X163" s="104" t="n">
        <f aca="false">IF(ISNUMBER(FIND("上限",S163)),1,0)</f>
        <v>0</v>
      </c>
      <c r="Y163" s="104" t="n">
        <v>0</v>
      </c>
    </row>
    <row r="164" customFormat="false" ht="15" hidden="false" customHeight="true" outlineLevel="0" collapsed="false">
      <c r="A164" s="35" t="s">
        <v>2115</v>
      </c>
      <c r="B164" s="36" t="s">
        <v>402</v>
      </c>
      <c r="C164" s="195" t="n">
        <f aca="false">Harness!C88</f>
        <v>0.000106913241225165</v>
      </c>
      <c r="D164" s="195" t="n">
        <f aca="false">Harness!D88</f>
        <v>0.000769123637958258</v>
      </c>
      <c r="E164" s="195" t="n">
        <f aca="false">Harness!E88</f>
        <v>0.000707593750082319</v>
      </c>
      <c r="F164" s="195" t="n">
        <f aca="false">Harness!F88</f>
        <v>0.00440839704264529</v>
      </c>
      <c r="G164" s="195" t="n">
        <f aca="false">Harness!G88</f>
        <v>0.0324522383603972</v>
      </c>
      <c r="R164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64" s="53" t="str">
        <f aca="false">IF(R164="—","—",IF(R164="A","基準輸入",IF(R164="B","情境、相對比較、反轉門檻","探索")))</f>
        <v>情境、相對比較、反轉門檻</v>
      </c>
      <c r="T164" s="54" t="s">
        <v>1977</v>
      </c>
      <c r="U164" s="53" t="str">
        <f aca="false">IF(V164=0,"—",LEFT(TEXT(V164,"0"),4)&amp;"-"&amp;MID(TEXT(V164,"0"),5,2)&amp;"-"&amp;RIGHT(TEXT(V164,"0"),2))</f>
        <v>2026-10-05</v>
      </c>
      <c r="V164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64" s="66" t="s">
        <v>2116</v>
      </c>
      <c r="X164" s="104" t="n">
        <f aca="false">IF(ISNUMBER(FIND("上限",S164)),1,0)</f>
        <v>0</v>
      </c>
      <c r="Y164" s="104" t="n">
        <v>0</v>
      </c>
    </row>
    <row r="165" customFormat="false" ht="15" hidden="false" customHeight="true" outlineLevel="0" collapsed="false">
      <c r="A165" s="35" t="s">
        <v>2117</v>
      </c>
      <c r="B165" s="36" t="s">
        <v>402</v>
      </c>
      <c r="C165" s="196" t="n">
        <f aca="false">Harness!C97</f>
        <v>0.000157579848121241</v>
      </c>
      <c r="D165" s="196" t="n">
        <f aca="false">Harness!D97</f>
        <v>0.0011414061274832</v>
      </c>
      <c r="E165" s="196" t="n">
        <f aca="false">Harness!E97</f>
        <v>0.00104204717563707</v>
      </c>
      <c r="F165" s="196" t="n">
        <f aca="false">Harness!F97</f>
        <v>0.00649208346857348</v>
      </c>
      <c r="G165" s="196" t="n">
        <f aca="false">Harness!G97</f>
        <v>0.0471535286249069</v>
      </c>
      <c r="R165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65" s="53" t="str">
        <f aca="false">IF(R165="—","—",IF(R165="A","基準輸入",IF(R165="B","情境、相對比較、反轉門檻","探索")))</f>
        <v>情境、相對比較、反轉門檻</v>
      </c>
      <c r="T165" s="54" t="s">
        <v>587</v>
      </c>
      <c r="U165" s="53" t="str">
        <f aca="false">IF(V165=0,"—",LEFT(TEXT(V165,"0"),4)&amp;"-"&amp;MID(TEXT(V165,"0"),5,2)&amp;"-"&amp;RIGHT(TEXT(V165,"0"),2))</f>
        <v>2026-10-05</v>
      </c>
      <c r="V165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65" s="66" t="s">
        <v>2118</v>
      </c>
      <c r="X165" s="104" t="n">
        <f aca="false">IF(ISNUMBER(FIND("上限",S165)),1,0)</f>
        <v>0</v>
      </c>
      <c r="Y165" s="104" t="n">
        <v>0</v>
      </c>
    </row>
    <row r="166" customFormat="false" ht="15" hidden="false" customHeight="true" outlineLevel="0" collapsed="false">
      <c r="A166" s="35" t="s">
        <v>2119</v>
      </c>
      <c r="B166" s="36" t="s">
        <v>402</v>
      </c>
      <c r="C166" s="196" t="n">
        <f aca="false">Harness!C126</f>
        <v>0.000340869980715914</v>
      </c>
      <c r="D166" s="196" t="n">
        <f aca="false">Harness!D126</f>
        <v>0.00181896849275965</v>
      </c>
      <c r="E166" s="196" t="n">
        <f aca="false">Harness!E126</f>
        <v>0.00237971056778149</v>
      </c>
      <c r="F166" s="196" t="n">
        <f aca="false">Harness!F126</f>
        <v>0.0148258927218325</v>
      </c>
      <c r="G166" s="196" t="n">
        <f aca="false">Harness!G126</f>
        <v>0.171997108568582</v>
      </c>
      <c r="R166" s="8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66" s="53" t="str">
        <f aca="false">IF(R166="—","—",IF(R166="A","基準輸入",IF(R166="B","情境、相對比較、反轉門檻","探索")))</f>
        <v>情境、相對比較、反轉門檻</v>
      </c>
      <c r="T166" s="54" t="s">
        <v>587</v>
      </c>
      <c r="U166" s="53" t="str">
        <f aca="false">IF(V166=0,"—",LEFT(TEXT(V166,"0"),4)&amp;"-"&amp;MID(TEXT(V166,"0"),5,2)&amp;"-"&amp;RIGHT(TEXT(V166,"0"),2))</f>
        <v>—</v>
      </c>
      <c r="V166" s="8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66" s="66" t="s">
        <v>2120</v>
      </c>
      <c r="X166" s="104" t="n">
        <f aca="false">IF(ISNUMBER(FIND("上限",S166)),1,0)</f>
        <v>0</v>
      </c>
      <c r="Y166" s="104" t="n">
        <v>0</v>
      </c>
    </row>
    <row r="167" customFormat="false" ht="15" hidden="false" customHeight="true" outlineLevel="0" collapsed="false">
      <c r="A167" s="36" t="s">
        <v>2121</v>
      </c>
      <c r="B167" s="36" t="s">
        <v>83</v>
      </c>
      <c r="C167" s="175" t="n">
        <f aca="false">Harness!C136</f>
        <v>1</v>
      </c>
      <c r="D167" s="175" t="n">
        <f aca="false">Harness!D136</f>
        <v>1</v>
      </c>
      <c r="E167" s="175" t="n">
        <f aca="false">Harness!E136</f>
        <v>0.5906011618601</v>
      </c>
      <c r="F167" s="175" t="n">
        <f aca="false">Harness!F136</f>
        <v>0.476595579475868</v>
      </c>
      <c r="G167" s="175" t="n">
        <f aca="false">Harness!G136</f>
        <v>0.414654003644933</v>
      </c>
      <c r="R167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67" s="53" t="str">
        <f aca="false">IF(R167="—","—",IF(R167="A","基準輸入",IF(R167="B","情境、相對比較、反轉門檻","探索")))</f>
        <v>情境、相對比較、反轉門檻</v>
      </c>
      <c r="T167" s="54" t="s">
        <v>587</v>
      </c>
      <c r="U167" s="53" t="str">
        <f aca="false">IF(V167=0,"—",LEFT(TEXT(V167,"0"),4)&amp;"-"&amp;MID(TEXT(V167,"0"),5,2)&amp;"-"&amp;RIGHT(TEXT(V167,"0"),2))</f>
        <v>2026-10-05</v>
      </c>
      <c r="V167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67" s="66" t="s">
        <v>2116</v>
      </c>
      <c r="X167" s="104" t="n">
        <f aca="false">IF(ISNUMBER(FIND("上限",S167)),1,0)</f>
        <v>0</v>
      </c>
      <c r="Y167" s="104" t="n">
        <v>0</v>
      </c>
    </row>
    <row r="168" customFormat="false" ht="15" hidden="false" customHeight="true" outlineLevel="0" collapsed="false">
      <c r="A168" s="8" t="s">
        <v>228</v>
      </c>
    </row>
    <row r="169" customFormat="false" ht="15" hidden="false" customHeight="true" outlineLevel="0" collapsed="false">
      <c r="A169" s="35" t="s">
        <v>2122</v>
      </c>
      <c r="B169" s="36" t="s">
        <v>79</v>
      </c>
      <c r="C169" s="179" t="n">
        <f aca="false">Harness!C60</f>
        <v>0.988943278022254</v>
      </c>
      <c r="D169" s="179" t="n">
        <f aca="false">Harness!D60</f>
        <v>0.963963460360214</v>
      </c>
      <c r="E169" s="179" t="n">
        <f aca="false">Harness!E60</f>
        <v>0.888888888888889</v>
      </c>
      <c r="F169" s="179" t="n">
        <f aca="false">Harness!F60</f>
        <v>0.738796125036259</v>
      </c>
      <c r="G169" s="179" t="n">
        <f aca="false">Harness!G60</f>
        <v>0.5</v>
      </c>
      <c r="R169" s="8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53" t="str">
        <f aca="false">IF(R169="—","—",IF(R169="A","基準輸入",IF(R169="B","情境、相對比較、反轉門檻","探索")))</f>
        <v>基準輸入</v>
      </c>
      <c r="T169" s="54" t="s">
        <v>587</v>
      </c>
      <c r="U169" s="53" t="str">
        <f aca="false">IF(V169=0,"—",LEFT(TEXT(V169,"0"),4)&amp;"-"&amp;MID(TEXT(V169,"0"),5,2)&amp;"-"&amp;RIGHT(TEXT(V169,"0"),2))</f>
        <v>—</v>
      </c>
      <c r="V169" s="82" t="n">
        <f aca="false">MAX(Gov_Map!$AJ$483,Gov_Map!$AJ$491,Gov_Map!$AJ$500,Gov_Map!$AJ$503,Gov_Map!$AJ$506,Gov_Map!$AJ$508,Gov_Map!$AJ$521:$AJ$522)</f>
        <v>0</v>
      </c>
      <c r="W169" s="66" t="s">
        <v>2112</v>
      </c>
      <c r="X169" s="104" t="n">
        <f aca="false">IF(ISNUMBER(FIND("上限",S169)),1,0)</f>
        <v>0</v>
      </c>
      <c r="Y169" s="104" t="n">
        <v>0</v>
      </c>
    </row>
    <row r="170" customFormat="false" ht="15" hidden="false" customHeight="true" outlineLevel="0" collapsed="false">
      <c r="A170" s="35" t="s">
        <v>2123</v>
      </c>
      <c r="B170" s="36" t="s">
        <v>79</v>
      </c>
      <c r="C170" s="179" t="n">
        <f aca="false">Harness!C61</f>
        <v>0.988943278022254</v>
      </c>
      <c r="D170" s="179" t="n">
        <f aca="false">Harness!D61</f>
        <v>0.963963460360214</v>
      </c>
      <c r="E170" s="179" t="n">
        <f aca="false">Harness!E61</f>
        <v>0.901693340131513</v>
      </c>
      <c r="F170" s="179" t="n">
        <f aca="false">Harness!F61</f>
        <v>0.826293243415818</v>
      </c>
      <c r="G170" s="179" t="n">
        <f aca="false">Harness!G61</f>
        <v>0.627115119175411</v>
      </c>
      <c r="R170" s="8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53" t="str">
        <f aca="false">IF(R170="—","—",IF(R170="A","基準輸入",IF(R170="B","情境、相對比較、反轉門檻","探索")))</f>
        <v>基準輸入</v>
      </c>
      <c r="T170" s="54" t="s">
        <v>587</v>
      </c>
      <c r="U170" s="53" t="str">
        <f aca="false">IF(V170=0,"—",LEFT(TEXT(V170,"0"),4)&amp;"-"&amp;MID(TEXT(V170,"0"),5,2)&amp;"-"&amp;RIGHT(TEXT(V170,"0"),2))</f>
        <v>—</v>
      </c>
      <c r="V170" s="82" t="n">
        <f aca="false">MAX(Gov_Map!$AJ$483,Gov_Map!$AJ$491,Gov_Map!$AJ$500,Gov_Map!$AJ$503,Gov_Map!$AJ$506,Gov_Map!$AJ$508)</f>
        <v>0</v>
      </c>
      <c r="W170" s="66" t="s">
        <v>2114</v>
      </c>
      <c r="X170" s="104" t="n">
        <f aca="false">IF(ISNUMBER(FIND("上限",S170)),1,0)</f>
        <v>0</v>
      </c>
      <c r="Y170" s="104" t="n">
        <v>0</v>
      </c>
    </row>
    <row r="171" customFormat="false" ht="15" hidden="false" customHeight="true" outlineLevel="0" collapsed="false">
      <c r="A171" s="35" t="s">
        <v>2124</v>
      </c>
      <c r="B171" s="36" t="s">
        <v>402</v>
      </c>
      <c r="C171" s="195" t="n">
        <f aca="false">Harness!C91</f>
        <v>0.000334082610572906</v>
      </c>
      <c r="D171" s="195" t="n">
        <f aca="false">Harness!D91</f>
        <v>0.00224436776488957</v>
      </c>
      <c r="E171" s="195" t="n">
        <f aca="false">Harness!E91</f>
        <v>0.00177394408270669</v>
      </c>
      <c r="F171" s="195" t="n">
        <f aca="false">Harness!F91</f>
        <v>0.00853734409909517</v>
      </c>
      <c r="G171" s="195" t="n">
        <f aca="false">Harness!G91</f>
        <v>0.0463683646779148</v>
      </c>
      <c r="R171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1" s="53" t="str">
        <f aca="false">IF(R171="—","—",IF(R171="A","基準輸入",IF(R171="B","情境、相對比較、反轉門檻","探索")))</f>
        <v>情境、相對比較、反轉門檻</v>
      </c>
      <c r="T171" s="54" t="s">
        <v>1977</v>
      </c>
      <c r="U171" s="53" t="str">
        <f aca="false">IF(V171=0,"—",LEFT(TEXT(V171,"0"),4)&amp;"-"&amp;MID(TEXT(V171,"0"),5,2)&amp;"-"&amp;RIGHT(TEXT(V171,"0"),2))</f>
        <v>2026-10-05</v>
      </c>
      <c r="V171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1" s="66" t="s">
        <v>2116</v>
      </c>
      <c r="X171" s="104" t="n">
        <f aca="false">IF(ISNUMBER(FIND("上限",S171)),1,0)</f>
        <v>0</v>
      </c>
      <c r="Y171" s="104" t="n">
        <v>0</v>
      </c>
    </row>
    <row r="172" customFormat="false" ht="15" hidden="false" customHeight="true" outlineLevel="0" collapsed="false">
      <c r="A172" s="35" t="s">
        <v>2125</v>
      </c>
      <c r="B172" s="36" t="s">
        <v>402</v>
      </c>
      <c r="C172" s="196" t="n">
        <f aca="false">Harness!C100</f>
        <v>0.000533650890150221</v>
      </c>
      <c r="D172" s="196" t="n">
        <f aca="false">Harness!D100</f>
        <v>0.00364504944049846</v>
      </c>
      <c r="E172" s="196" t="n">
        <f aca="false">Harness!E100</f>
        <v>0.00283447218978376</v>
      </c>
      <c r="F172" s="196" t="n">
        <f aca="false">Harness!F100</f>
        <v>0.0136412780196414</v>
      </c>
      <c r="G172" s="196" t="n">
        <f aca="false">Harness!G100</f>
        <v>0.0725045721219997</v>
      </c>
      <c r="R172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2" s="53" t="str">
        <f aca="false">IF(R172="—","—",IF(R172="A","基準輸入",IF(R172="B","情境、相對比較、反轉門檻","探索")))</f>
        <v>情境、相對比較、反轉門檻</v>
      </c>
      <c r="T172" s="54" t="s">
        <v>587</v>
      </c>
      <c r="U172" s="53" t="str">
        <f aca="false">IF(V172=0,"—",LEFT(TEXT(V172,"0"),4)&amp;"-"&amp;MID(TEXT(V172,"0"),5,2)&amp;"-"&amp;RIGHT(TEXT(V172,"0"),2))</f>
        <v>2026-10-05</v>
      </c>
      <c r="V172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2" s="66" t="s">
        <v>2118</v>
      </c>
      <c r="X172" s="104" t="n">
        <f aca="false">IF(ISNUMBER(FIND("上限",S172)),1,0)</f>
        <v>0</v>
      </c>
      <c r="Y172" s="104" t="n">
        <v>0</v>
      </c>
    </row>
    <row r="173" customFormat="false" ht="15" hidden="false" customHeight="true" outlineLevel="0" collapsed="false">
      <c r="A173" s="35" t="s">
        <v>2126</v>
      </c>
      <c r="B173" s="36" t="s">
        <v>402</v>
      </c>
      <c r="C173" s="196" t="n">
        <f aca="false">Harness!C129</f>
        <v>0.00663334302966199</v>
      </c>
      <c r="D173" s="196" t="n">
        <f aca="false">Harness!D129</f>
        <v>0.0333622604201019</v>
      </c>
      <c r="E173" s="196" t="n">
        <f aca="false">Harness!E129</f>
        <v>0.0372168</v>
      </c>
      <c r="F173" s="196" t="n">
        <f aca="false">Harness!F129</f>
        <v>0.179110847385002</v>
      </c>
      <c r="G173" s="196" t="n">
        <f aca="false">Harness!G129</f>
        <v>1.525632</v>
      </c>
      <c r="R173" s="8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73" s="53" t="str">
        <f aca="false">IF(R173="—","—",IF(R173="A","基準輸入",IF(R173="B","情境、相對比較、反轉門檻","探索")))</f>
        <v>情境、相對比較、反轉門檻</v>
      </c>
      <c r="T173" s="54" t="s">
        <v>587</v>
      </c>
      <c r="U173" s="53" t="str">
        <f aca="false">IF(V173=0,"—",LEFT(TEXT(V173,"0"),4)&amp;"-"&amp;MID(TEXT(V173,"0"),5,2)&amp;"-"&amp;RIGHT(TEXT(V173,"0"),2))</f>
        <v>—</v>
      </c>
      <c r="V173" s="8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73" s="66" t="s">
        <v>2120</v>
      </c>
      <c r="X173" s="104" t="n">
        <f aca="false">IF(ISNUMBER(FIND("上限",S173)),1,0)</f>
        <v>0</v>
      </c>
      <c r="Y173" s="104" t="n">
        <v>0</v>
      </c>
    </row>
    <row r="174" customFormat="false" ht="15" hidden="false" customHeight="true" outlineLevel="0" collapsed="false">
      <c r="A174" s="36" t="s">
        <v>2127</v>
      </c>
      <c r="B174" s="36" t="s">
        <v>83</v>
      </c>
      <c r="C174" s="175" t="n">
        <f aca="false">Harness!C137</f>
        <v>1</v>
      </c>
      <c r="D174" s="175" t="n">
        <f aca="false">Harness!D137</f>
        <v>1</v>
      </c>
      <c r="E174" s="175" t="n">
        <f aca="false">Harness!E137</f>
        <v>0.605314437223865</v>
      </c>
      <c r="F174" s="175" t="n">
        <f aca="false">Harness!F137</f>
        <v>0.549013247703099</v>
      </c>
      <c r="G174" s="175" t="n">
        <f aca="false">Harness!G137</f>
        <v>0.479278330582203</v>
      </c>
      <c r="R174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4" s="53" t="str">
        <f aca="false">IF(R174="—","—",IF(R174="A","基準輸入",IF(R174="B","情境、相對比較、反轉門檻","探索")))</f>
        <v>情境、相對比較、反轉門檻</v>
      </c>
      <c r="T174" s="54" t="s">
        <v>587</v>
      </c>
      <c r="U174" s="53" t="str">
        <f aca="false">IF(V174=0,"—",LEFT(TEXT(V174,"0"),4)&amp;"-"&amp;MID(TEXT(V174,"0"),5,2)&amp;"-"&amp;RIGHT(TEXT(V174,"0"),2))</f>
        <v>2026-10-05</v>
      </c>
      <c r="V174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4" s="66" t="s">
        <v>2116</v>
      </c>
      <c r="X174" s="104" t="n">
        <f aca="false">IF(ISNUMBER(FIND("上限",S174)),1,0)</f>
        <v>0</v>
      </c>
      <c r="Y174" s="104" t="n">
        <v>0</v>
      </c>
    </row>
    <row r="175" customFormat="false" ht="15" hidden="false" customHeight="true" outlineLevel="0" collapsed="false">
      <c r="A175" s="8" t="s">
        <v>229</v>
      </c>
    </row>
    <row r="176" customFormat="false" ht="15" hidden="false" customHeight="true" outlineLevel="0" collapsed="false">
      <c r="A176" s="35" t="s">
        <v>2128</v>
      </c>
      <c r="B176" s="36" t="s">
        <v>79</v>
      </c>
      <c r="C176" s="179" t="n">
        <f aca="false">Harness!C63</f>
        <v>0.993396032445753</v>
      </c>
      <c r="D176" s="179" t="n">
        <f aca="false">Harness!D63</f>
        <v>0.978254868861662</v>
      </c>
      <c r="E176" s="179" t="n">
        <f aca="false">Harness!E63</f>
        <v>0.930816639357101</v>
      </c>
      <c r="F176" s="179" t="n">
        <f aca="false">Harness!F63</f>
        <v>0.826293243415818</v>
      </c>
      <c r="G176" s="179" t="n">
        <f aca="false">Harness!G63</f>
        <v>0.627115119175411</v>
      </c>
      <c r="R176" s="85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53" t="str">
        <f aca="false">IF(R176="—","—",IF(R176="A","基準輸入",IF(R176="B","情境、相對比較、反轉門檻","探索")))</f>
        <v>基準輸入</v>
      </c>
      <c r="T176" s="54" t="s">
        <v>587</v>
      </c>
      <c r="U176" s="53" t="str">
        <f aca="false">IF(V176=0,"—",LEFT(TEXT(V176,"0"),4)&amp;"-"&amp;MID(TEXT(V176,"0"),5,2)&amp;"-"&amp;RIGHT(TEXT(V176,"0"),2))</f>
        <v>—</v>
      </c>
      <c r="V176" s="82" t="n">
        <f aca="false">MAX(Gov_Map!$AJ$483,Gov_Map!$AJ$491,Gov_Map!$AJ$500,Gov_Map!$AJ$503,Gov_Map!$AJ$506,Gov_Map!$AJ$508,Gov_Map!$AJ$521:$AJ$522)</f>
        <v>0</v>
      </c>
      <c r="W176" s="66" t="s">
        <v>2112</v>
      </c>
      <c r="X176" s="104" t="n">
        <f aca="false">IF(ISNUMBER(FIND("上限",S176)),1,0)</f>
        <v>0</v>
      </c>
      <c r="Y176" s="104" t="n">
        <v>0</v>
      </c>
    </row>
    <row r="177" customFormat="false" ht="15" hidden="false" customHeight="true" outlineLevel="0" collapsed="false">
      <c r="A177" s="35" t="s">
        <v>2129</v>
      </c>
      <c r="B177" s="36" t="s">
        <v>79</v>
      </c>
      <c r="C177" s="179" t="n">
        <f aca="false">Harness!C64</f>
        <v>0.993396032445753</v>
      </c>
      <c r="D177" s="179" t="n">
        <f aca="false">Harness!D64</f>
        <v>0.978254868861662</v>
      </c>
      <c r="E177" s="179" t="n">
        <f aca="false">Harness!E64</f>
        <v>0.939120259663704</v>
      </c>
      <c r="F177" s="179" t="n">
        <f aca="false">Harness!F64</f>
        <v>0.888888888888889</v>
      </c>
      <c r="G177" s="179" t="n">
        <f aca="false">Harness!G64</f>
        <v>0.738796125036259</v>
      </c>
      <c r="R177" s="85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53" t="str">
        <f aca="false">IF(R177="—","—",IF(R177="A","基準輸入",IF(R177="B","情境、相對比較、反轉門檻","探索")))</f>
        <v>基準輸入</v>
      </c>
      <c r="T177" s="54" t="s">
        <v>587</v>
      </c>
      <c r="U177" s="53" t="str">
        <f aca="false">IF(V177=0,"—",LEFT(TEXT(V177,"0"),4)&amp;"-"&amp;MID(TEXT(V177,"0"),5,2)&amp;"-"&amp;RIGHT(TEXT(V177,"0"),2))</f>
        <v>—</v>
      </c>
      <c r="V177" s="82" t="n">
        <f aca="false">MAX(Gov_Map!$AJ$483,Gov_Map!$AJ$491,Gov_Map!$AJ$500,Gov_Map!$AJ$503,Gov_Map!$AJ$506,Gov_Map!$AJ$508)</f>
        <v>0</v>
      </c>
      <c r="W177" s="66" t="s">
        <v>2114</v>
      </c>
      <c r="X177" s="104" t="n">
        <f aca="false">IF(ISNUMBER(FIND("上限",S177)),1,0)</f>
        <v>0</v>
      </c>
      <c r="Y177" s="104" t="n">
        <v>0</v>
      </c>
    </row>
    <row r="178" customFormat="false" ht="15" hidden="false" customHeight="true" outlineLevel="0" collapsed="false">
      <c r="A178" s="35" t="s">
        <v>2130</v>
      </c>
      <c r="B178" s="36" t="s">
        <v>402</v>
      </c>
      <c r="C178" s="195" t="n">
        <f aca="false">Harness!C94</f>
        <v>0.00164056305594464</v>
      </c>
      <c r="D178" s="195" t="n">
        <f aca="false">Harness!D94</f>
        <v>0.0113657211430203</v>
      </c>
      <c r="E178" s="195" t="n">
        <f aca="false">Harness!E94</f>
        <v>0.00839000078726531</v>
      </c>
      <c r="F178" s="195" t="n">
        <f aca="false">Harness!F94</f>
        <v>0.0378052339129473</v>
      </c>
      <c r="G178" s="195" t="n">
        <f aca="false">Harness!G94</f>
        <v>0.176083141402411</v>
      </c>
      <c r="R178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8" s="53" t="str">
        <f aca="false">IF(R178="—","—",IF(R178="A","基準輸入",IF(R178="B","情境、相對比較、反轉門檻","探索")))</f>
        <v>情境、相對比較、反轉門檻</v>
      </c>
      <c r="T178" s="54" t="s">
        <v>1977</v>
      </c>
      <c r="U178" s="53" t="str">
        <f aca="false">IF(V178=0,"—",LEFT(TEXT(V178,"0"),4)&amp;"-"&amp;MID(TEXT(V178,"0"),5,2)&amp;"-"&amp;RIGHT(TEXT(V178,"0"),2))</f>
        <v>2026-10-05</v>
      </c>
      <c r="V178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8" s="66" t="s">
        <v>2116</v>
      </c>
      <c r="X178" s="104" t="n">
        <f aca="false">IF(ISNUMBER(FIND("上限",S178)),1,0)</f>
        <v>0</v>
      </c>
      <c r="Y178" s="104" t="n">
        <v>0</v>
      </c>
    </row>
    <row r="179" customFormat="false" ht="15" hidden="false" customHeight="true" outlineLevel="0" collapsed="false">
      <c r="A179" s="35" t="s">
        <v>2131</v>
      </c>
      <c r="B179" s="36" t="s">
        <v>402</v>
      </c>
      <c r="C179" s="196" t="n">
        <f aca="false">Harness!C103</f>
        <v>0.0036251027740309</v>
      </c>
      <c r="D179" s="196" t="n">
        <f aca="false">Harness!D103</f>
        <v>0.0259073724424718</v>
      </c>
      <c r="E179" s="196" t="n">
        <f aca="false">Harness!E103</f>
        <v>0.0185336351733247</v>
      </c>
      <c r="F179" s="196" t="n">
        <f aca="false">Harness!F103</f>
        <v>0.0835123179068436</v>
      </c>
      <c r="G179" s="196" t="n">
        <f aca="false">Harness!G103</f>
        <v>0.370396000719878</v>
      </c>
      <c r="R179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79" s="53" t="str">
        <f aca="false">IF(R179="—","—",IF(R179="A","基準輸入",IF(R179="B","情境、相對比較、反轉門檻","探索")))</f>
        <v>情境、相對比較、反轉門檻</v>
      </c>
      <c r="T179" s="54" t="s">
        <v>587</v>
      </c>
      <c r="U179" s="53" t="str">
        <f aca="false">IF(V179=0,"—",LEFT(TEXT(V179,"0"),4)&amp;"-"&amp;MID(TEXT(V179,"0"),5,2)&amp;"-"&amp;RIGHT(TEXT(V179,"0"),2))</f>
        <v>2026-10-05</v>
      </c>
      <c r="V179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79" s="66" t="s">
        <v>2118</v>
      </c>
      <c r="X179" s="104" t="n">
        <f aca="false">IF(ISNUMBER(FIND("上限",S179)),1,0)</f>
        <v>0</v>
      </c>
      <c r="Y179" s="104" t="n">
        <v>0</v>
      </c>
    </row>
    <row r="180" customFormat="false" ht="15" hidden="false" customHeight="true" outlineLevel="0" collapsed="false">
      <c r="A180" s="35" t="s">
        <v>2132</v>
      </c>
      <c r="B180" s="36" t="s">
        <v>402</v>
      </c>
      <c r="C180" s="196" t="n">
        <f aca="false">Harness!C132</f>
        <v>0.0330180501317747</v>
      </c>
      <c r="D180" s="196" t="n">
        <f aca="false">Harness!D132</f>
        <v>0.164374341614178</v>
      </c>
      <c r="E180" s="196" t="n">
        <f aca="false">Harness!E132</f>
        <v>0.177702023154898</v>
      </c>
      <c r="F180" s="196" t="n">
        <f aca="false">Harness!F132</f>
        <v>0.800722994254286</v>
      </c>
      <c r="G180" s="196" t="n">
        <f aca="false">Harness!G132</f>
        <v>6.08194553659479</v>
      </c>
      <c r="R180" s="85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$522)&gt;0,"C",IF(SUM(Gov_Map!$AH$255:$AH$304,Gov_Map!$AH$445,Gov_Map!$AH$449,Gov_Map!$AH$451,Gov_Map!$AH$483,Gov_Map!$AH$485:$AH$491,Gov_Map!$AH$494:$AH$498,Gov_Map!$AH$500,Gov_Map!$AH$502:$AH$503,Gov_Map!$AH$506,Gov_Map!$AH$508,Gov_Map!$AH$510:$AH$518,Gov_Map!$AH$521:$AH$522)&gt;0,"B","A"))</f>
        <v>B</v>
      </c>
      <c r="S180" s="53" t="str">
        <f aca="false">IF(R180="—","—",IF(R180="A","基準輸入",IF(R180="B","情境、相對比較、反轉門檻","探索")))</f>
        <v>情境、相對比較、反轉門檻</v>
      </c>
      <c r="T180" s="54" t="s">
        <v>587</v>
      </c>
      <c r="U180" s="53" t="str">
        <f aca="false">IF(V180=0,"—",LEFT(TEXT(V180,"0"),4)&amp;"-"&amp;MID(TEXT(V180,"0"),5,2)&amp;"-"&amp;RIGHT(TEXT(V180,"0"),2))</f>
        <v>—</v>
      </c>
      <c r="V180" s="8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MAX(Gov_Map!$AJ$255:$AJ$304,Gov_Map!$AJ$445,Gov_Map!$AJ$449,Gov_Map!$AJ$451,Gov_Map!$AJ$483,Gov_Map!$AJ$485:$AJ$491,Gov_Map!$AJ$494:$AJ$498,Gov_Map!$AJ$500,Gov_Map!$AJ$502:$AJ$503,Gov_Map!$AJ$506,Gov_Map!$AJ$508,Gov_Map!$AJ$510:$AJ$518,Gov_Map!$AJ$521:$AJ$522)</f>
        <v>0</v>
      </c>
      <c r="W180" s="66" t="s">
        <v>2120</v>
      </c>
      <c r="X180" s="104" t="n">
        <f aca="false">IF(ISNUMBER(FIND("上限",S180)),1,0)</f>
        <v>0</v>
      </c>
      <c r="Y180" s="104" t="n">
        <v>0</v>
      </c>
    </row>
    <row r="181" customFormat="false" ht="15" hidden="false" customHeight="true" outlineLevel="0" collapsed="false">
      <c r="A181" s="36" t="s">
        <v>2133</v>
      </c>
      <c r="B181" s="36" t="s">
        <v>83</v>
      </c>
      <c r="C181" s="175" t="n">
        <f aca="false">Harness!C138</f>
        <v>1</v>
      </c>
      <c r="D181" s="175" t="n">
        <f aca="false">Harness!D138</f>
        <v>1</v>
      </c>
      <c r="E181" s="175" t="n">
        <f aca="false">Harness!E138</f>
        <v>0.608004323040286</v>
      </c>
      <c r="F181" s="175" t="n">
        <f aca="false">Harness!F138</f>
        <v>0.570230526219875</v>
      </c>
      <c r="G181" s="175" t="n">
        <f aca="false">Harness!G138</f>
        <v>0.519416933036323</v>
      </c>
      <c r="R181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$578)&gt;0,"B","A"))</f>
        <v>B</v>
      </c>
      <c r="S181" s="53" t="str">
        <f aca="false">IF(R181="—","—",IF(R181="A","基準輸入",IF(R181="B","情境、相對比較、反轉門檻","探索")))</f>
        <v>情境、相對比較、反轉門檻</v>
      </c>
      <c r="T181" s="54" t="s">
        <v>587</v>
      </c>
      <c r="U181" s="53" t="str">
        <f aca="false">IF(V181=0,"—",LEFT(TEXT(V181,"0"),4)&amp;"-"&amp;MID(TEXT(V181,"0"),5,2)&amp;"-"&amp;RIGHT(TEXT(V181,"0"),2))</f>
        <v>2026-10-05</v>
      </c>
      <c r="V181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$578)</f>
        <v>20261005</v>
      </c>
      <c r="W181" s="66" t="s">
        <v>2116</v>
      </c>
      <c r="X181" s="104" t="n">
        <f aca="false">IF(ISNUMBER(FIND("上限",S181)),1,0)</f>
        <v>0</v>
      </c>
      <c r="Y181" s="104" t="n">
        <v>0</v>
      </c>
    </row>
    <row r="182" customFormat="false" ht="15" hidden="false" customHeight="true" outlineLevel="0" collapsed="false">
      <c r="A182" s="8" t="s">
        <v>2134</v>
      </c>
    </row>
    <row r="183" customFormat="false" ht="15" hidden="false" customHeight="true" outlineLevel="0" collapsed="false">
      <c r="A183" s="36" t="s">
        <v>2135</v>
      </c>
      <c r="B183" s="36" t="s">
        <v>402</v>
      </c>
      <c r="C183" s="196" t="n">
        <f aca="false">Harness!C68</f>
        <v>0.000102876595493106</v>
      </c>
      <c r="D183" s="196" t="n">
        <f aca="false">Harness!D68</f>
        <v>0.00067991876426652</v>
      </c>
      <c r="E183" s="196" t="n">
        <f aca="false">Harness!E68</f>
        <v>0.000491831521859105</v>
      </c>
      <c r="F183" s="196" t="n">
        <f aca="false">Harness!F68</f>
        <v>0.00196732608743642</v>
      </c>
      <c r="G183" s="196" t="n">
        <f aca="false">Harness!G68</f>
        <v>0.00719636709684973</v>
      </c>
      <c r="R183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$578)&gt;0,"B","A"))</f>
        <v>B</v>
      </c>
      <c r="S183" s="53" t="str">
        <f aca="false">IF(R183="—","—",IF(R183="A","基準輸入",IF(R183="B","情境、相對比較、反轉門檻","探索")))</f>
        <v>情境、相對比較、反轉門檻</v>
      </c>
      <c r="T183" s="54" t="s">
        <v>1977</v>
      </c>
      <c r="U183" s="53" t="str">
        <f aca="false">IF(V183=0,"—",LEFT(TEXT(V183,"0"),4)&amp;"-"&amp;MID(TEXT(V183,"0"),5,2)&amp;"-"&amp;RIGHT(TEXT(V183,"0"),2))</f>
        <v>2026-10-05</v>
      </c>
      <c r="V183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$578)</f>
        <v>20261005</v>
      </c>
      <c r="W183" s="66" t="s">
        <v>2136</v>
      </c>
      <c r="X183" s="104" t="n">
        <f aca="false">IF(ISNUMBER(FIND("上限",S183)),1,0)</f>
        <v>0</v>
      </c>
      <c r="Y183" s="104" t="n">
        <v>0</v>
      </c>
    </row>
    <row r="184" customFormat="false" ht="15" hidden="false" customHeight="true" outlineLevel="0" collapsed="false">
      <c r="A184" s="36" t="s">
        <v>2137</v>
      </c>
      <c r="B184" s="36" t="s">
        <v>1128</v>
      </c>
      <c r="C184" s="175" t="n">
        <f aca="false">Harness!C160</f>
        <v>1.5</v>
      </c>
      <c r="D184" s="175" t="n">
        <f aca="false">Harness!D160</f>
        <v>1.5</v>
      </c>
      <c r="E184" s="175" t="n">
        <f aca="false">Harness!E160</f>
        <v>1.5</v>
      </c>
      <c r="F184" s="175" t="n">
        <f aca="false">Harness!F160</f>
        <v>1.5</v>
      </c>
      <c r="G184" s="175" t="n">
        <f aca="false">Harness!G160</f>
        <v>1.5</v>
      </c>
      <c r="R184" s="8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53" t="str">
        <f aca="false">IF(R184="—","—",IF(R184="A","基準輸入",IF(R184="B","情境、相對比較、反轉門檻","探索")))</f>
        <v>基準輸入</v>
      </c>
      <c r="T184" s="54" t="s">
        <v>587</v>
      </c>
      <c r="U184" s="53" t="str">
        <f aca="false">IF(V184=0,"—",LEFT(TEXT(V184,"0"),4)&amp;"-"&amp;MID(TEXT(V184,"0"),5,2)&amp;"-"&amp;RIGHT(TEXT(V184,"0"),2))</f>
        <v>—</v>
      </c>
      <c r="V184" s="82" t="n">
        <f aca="false">MAX(Gov_Map!$AJ$483,Gov_Map!$AJ$491,Gov_Map!$AJ$500,Gov_Map!$AJ$503,Gov_Map!$AJ$521:$AJ$522)</f>
        <v>0</v>
      </c>
      <c r="W184" s="66" t="s">
        <v>2114</v>
      </c>
      <c r="X184" s="104" t="n">
        <f aca="false">IF(ISNUMBER(FIND("上限",S184)),1,0)</f>
        <v>0</v>
      </c>
      <c r="Y184" s="104" t="n">
        <v>0</v>
      </c>
    </row>
    <row r="185" customFormat="false" ht="15" hidden="false" customHeight="true" outlineLevel="0" collapsed="false">
      <c r="A185" s="36" t="s">
        <v>2138</v>
      </c>
      <c r="B185" s="36" t="s">
        <v>402</v>
      </c>
      <c r="C185" s="196" t="n">
        <f aca="false">Harness!C71</f>
        <v>0.000330388752030202</v>
      </c>
      <c r="D185" s="196" t="n">
        <f aca="false">Harness!D71</f>
        <v>0.00216348851696387</v>
      </c>
      <c r="E185" s="196" t="n">
        <f aca="false">Harness!E71</f>
        <v>0.00157683918462817</v>
      </c>
      <c r="F185" s="196" t="n">
        <f aca="false">Harness!F71</f>
        <v>0.00630735673851268</v>
      </c>
      <c r="G185" s="196" t="n">
        <f aca="false">Harness!G71</f>
        <v>0.0231841823389574</v>
      </c>
      <c r="R185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$578)&gt;0,"B","A"))</f>
        <v>B</v>
      </c>
      <c r="S185" s="53" t="str">
        <f aca="false">IF(R185="—","—",IF(R185="A","基準輸入",IF(R185="B","情境、相對比較、反轉門檻","探索")))</f>
        <v>情境、相對比較、反轉門檻</v>
      </c>
      <c r="T185" s="54" t="s">
        <v>1977</v>
      </c>
      <c r="U185" s="53" t="str">
        <f aca="false">IF(V185=0,"—",LEFT(TEXT(V185,"0"),4)&amp;"-"&amp;MID(TEXT(V185,"0"),5,2)&amp;"-"&amp;RIGHT(TEXT(V185,"0"),2))</f>
        <v>2026-10-05</v>
      </c>
      <c r="V185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$578)</f>
        <v>20261005</v>
      </c>
      <c r="W185" s="66" t="s">
        <v>2136</v>
      </c>
      <c r="X185" s="104" t="n">
        <f aca="false">IF(ISNUMBER(FIND("上限",S185)),1,0)</f>
        <v>0</v>
      </c>
      <c r="Y185" s="104" t="n">
        <v>0</v>
      </c>
    </row>
    <row r="186" customFormat="false" ht="15" hidden="false" customHeight="true" outlineLevel="0" collapsed="false">
      <c r="A186" s="36" t="s">
        <v>2139</v>
      </c>
      <c r="B186" s="36" t="s">
        <v>1128</v>
      </c>
      <c r="C186" s="175" t="n">
        <f aca="false">Harness!C161</f>
        <v>8</v>
      </c>
      <c r="D186" s="175" t="n">
        <f aca="false">Harness!D161</f>
        <v>8</v>
      </c>
      <c r="E186" s="175" t="n">
        <f aca="false">Harness!E161</f>
        <v>8</v>
      </c>
      <c r="F186" s="175" t="n">
        <f aca="false">Harness!F161</f>
        <v>8</v>
      </c>
      <c r="G186" s="175" t="n">
        <f aca="false">Harness!G161</f>
        <v>8</v>
      </c>
      <c r="R186" s="8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53" t="str">
        <f aca="false">IF(R186="—","—",IF(R186="A","基準輸入",IF(R186="B","情境、相對比較、反轉門檻","探索")))</f>
        <v>基準輸入</v>
      </c>
      <c r="T186" s="54" t="s">
        <v>587</v>
      </c>
      <c r="U186" s="53" t="str">
        <f aca="false">IF(V186=0,"—",LEFT(TEXT(V186,"0"),4)&amp;"-"&amp;MID(TEXT(V186,"0"),5,2)&amp;"-"&amp;RIGHT(TEXT(V186,"0"),2))</f>
        <v>—</v>
      </c>
      <c r="V186" s="82" t="n">
        <f aca="false">MAX(Gov_Map!$AJ$483,Gov_Map!$AJ$491,Gov_Map!$AJ$500,Gov_Map!$AJ$503,Gov_Map!$AJ$521:$AJ$522)</f>
        <v>0</v>
      </c>
      <c r="W186" s="66" t="s">
        <v>2114</v>
      </c>
      <c r="X186" s="104" t="n">
        <f aca="false">IF(ISNUMBER(FIND("上限",S186)),1,0)</f>
        <v>0</v>
      </c>
      <c r="Y186" s="104" t="n">
        <v>0</v>
      </c>
    </row>
    <row r="187" customFormat="false" ht="15" hidden="false" customHeight="true" outlineLevel="0" collapsed="false">
      <c r="A187" s="36" t="s">
        <v>2140</v>
      </c>
      <c r="B187" s="36" t="s">
        <v>402</v>
      </c>
      <c r="C187" s="196" t="n">
        <f aca="false">Harness!C74</f>
        <v>0.00162972883075249</v>
      </c>
      <c r="D187" s="196" t="n">
        <f aca="false">Harness!D74</f>
        <v>0.0111185720462836</v>
      </c>
      <c r="E187" s="196" t="n">
        <f aca="false">Harness!E74</f>
        <v>0.00780955233700573</v>
      </c>
      <c r="F187" s="196" t="n">
        <f aca="false">Harness!F74</f>
        <v>0.0312382093480229</v>
      </c>
      <c r="G187" s="196" t="n">
        <f aca="false">Harness!G74</f>
        <v>0.110424400205354</v>
      </c>
      <c r="R187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$578)&gt;0,"B","A"))</f>
        <v>B</v>
      </c>
      <c r="S187" s="53" t="str">
        <f aca="false">IF(R187="—","—",IF(R187="A","基準輸入",IF(R187="B","情境、相對比較、反轉門檻","探索")))</f>
        <v>情境、相對比較、反轉門檻</v>
      </c>
      <c r="T187" s="54" t="s">
        <v>1977</v>
      </c>
      <c r="U187" s="53" t="str">
        <f aca="false">IF(V187=0,"—",LEFT(TEXT(V187,"0"),4)&amp;"-"&amp;MID(TEXT(V187,"0"),5,2)&amp;"-"&amp;RIGHT(TEXT(V187,"0"),2))</f>
        <v>2026-10-05</v>
      </c>
      <c r="V187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$578)</f>
        <v>20261005</v>
      </c>
      <c r="W187" s="66" t="s">
        <v>2136</v>
      </c>
      <c r="X187" s="104" t="n">
        <f aca="false">IF(ISNUMBER(FIND("上限",S187)),1,0)</f>
        <v>0</v>
      </c>
      <c r="Y187" s="104" t="n">
        <v>0</v>
      </c>
    </row>
    <row r="188" customFormat="false" ht="15" hidden="false" customHeight="true" outlineLevel="0" collapsed="false">
      <c r="A188" s="36" t="s">
        <v>2141</v>
      </c>
      <c r="B188" s="36" t="s">
        <v>1128</v>
      </c>
      <c r="C188" s="175" t="n">
        <f aca="false">Harness!C162</f>
        <v>16</v>
      </c>
      <c r="D188" s="175" t="n">
        <f aca="false">Harness!D162</f>
        <v>16</v>
      </c>
      <c r="E188" s="175" t="n">
        <f aca="false">Harness!E162</f>
        <v>16</v>
      </c>
      <c r="F188" s="175" t="n">
        <f aca="false">Harness!F162</f>
        <v>16</v>
      </c>
      <c r="G188" s="175" t="n">
        <f aca="false">Harness!G162</f>
        <v>16</v>
      </c>
      <c r="R188" s="85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53" t="str">
        <f aca="false">IF(R188="—","—",IF(R188="A","基準輸入",IF(R188="B","情境、相對比較、反轉門檻","探索")))</f>
        <v>基準輸入</v>
      </c>
      <c r="T188" s="54" t="s">
        <v>587</v>
      </c>
      <c r="U188" s="53" t="str">
        <f aca="false">IF(V188=0,"—",LEFT(TEXT(V188,"0"),4)&amp;"-"&amp;MID(TEXT(V188,"0"),5,2)&amp;"-"&amp;RIGHT(TEXT(V188,"0"),2))</f>
        <v>—</v>
      </c>
      <c r="V188" s="82" t="n">
        <f aca="false">MAX(Gov_Map!$AJ$483,Gov_Map!$AJ$491,Gov_Map!$AJ$500,Gov_Map!$AJ$503,Gov_Map!$AJ$521:$AJ$522)</f>
        <v>0</v>
      </c>
      <c r="W188" s="66" t="s">
        <v>2114</v>
      </c>
      <c r="X188" s="104" t="n">
        <f aca="false">IF(ISNUMBER(FIND("上限",S188)),1,0)</f>
        <v>0</v>
      </c>
      <c r="Y188" s="104" t="n">
        <v>0</v>
      </c>
    </row>
    <row r="189" customFormat="false" ht="15" hidden="false" customHeight="true" outlineLevel="0" collapsed="false">
      <c r="A189" s="35" t="s">
        <v>2142</v>
      </c>
      <c r="B189" s="36" t="s">
        <v>79</v>
      </c>
      <c r="C189" s="193" t="n">
        <f aca="false">B5_PFloor</f>
        <v>0.5</v>
      </c>
      <c r="R189" s="85" t="str">
        <f aca="false">IF(SUM(Gov_Map!$AG$484)&gt;0,"C",IF(SUM(Gov_Map!$AH$484)&gt;0,"B","A"))</f>
        <v>A</v>
      </c>
      <c r="S189" s="53" t="str">
        <f aca="false">IF(R189="—","—",IF(R189="A","基準輸入",IF(R189="B","情境、相對比較、反轉門檻","探索")))</f>
        <v>基準輸入</v>
      </c>
      <c r="T189" s="54" t="s">
        <v>587</v>
      </c>
      <c r="U189" s="53" t="str">
        <f aca="false">IF(V189=0,"—",LEFT(TEXT(V189,"0"),4)&amp;"-"&amp;MID(TEXT(V189,"0"),5,2)&amp;"-"&amp;RIGHT(TEXT(V189,"0"),2))</f>
        <v>—</v>
      </c>
      <c r="V189" s="82" t="n">
        <f aca="false">MAX(Gov_Map!$AJ$484)</f>
        <v>0</v>
      </c>
      <c r="W189" s="66" t="s">
        <v>2014</v>
      </c>
      <c r="X189" s="104" t="n">
        <f aca="false">IF(ISNUMBER(FIND("上限",S189)),1,0)</f>
        <v>0</v>
      </c>
      <c r="Y189" s="104" t="n">
        <v>0</v>
      </c>
    </row>
    <row r="190" customFormat="false" ht="15" hidden="false" customHeight="true" outlineLevel="0" collapsed="false">
      <c r="A190" s="35" t="s">
        <v>2143</v>
      </c>
      <c r="B190" s="36" t="s">
        <v>402</v>
      </c>
      <c r="C190" s="195" t="n">
        <f aca="false">Harness!C151</f>
        <v>0.000106913241225165</v>
      </c>
      <c r="D190" s="195" t="n">
        <f aca="false">Harness!D151</f>
        <v>0.000769123637958258</v>
      </c>
      <c r="E190" s="195" t="n">
        <f aca="false">Harness!E151</f>
        <v>0.000417905690923563</v>
      </c>
      <c r="F190" s="195" t="n">
        <f aca="false">Harness!F151</f>
        <v>0.00210102254309924</v>
      </c>
      <c r="G190" s="195" t="n">
        <f aca="false">Harness!G151</f>
        <v>0.0222233524146578</v>
      </c>
      <c r="R190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$578)&gt;0,"B","A"))</f>
        <v>B</v>
      </c>
      <c r="S190" s="53" t="str">
        <f aca="false">IF(R190="—","—",IF(R190="A","基準輸入",IF(R190="B","情境、相對比較、反轉門檻","探索")))</f>
        <v>情境、相對比較、反轉門檻</v>
      </c>
      <c r="T190" s="54" t="s">
        <v>587</v>
      </c>
      <c r="U190" s="53" t="str">
        <f aca="false">IF(V190=0,"—",LEFT(TEXT(V190,"0"),4)&amp;"-"&amp;MID(TEXT(V190,"0"),5,2)&amp;"-"&amp;RIGHT(TEXT(V190,"0"),2))</f>
        <v>2026-10-05</v>
      </c>
      <c r="V190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$578)</f>
        <v>20261005</v>
      </c>
      <c r="W190" s="66" t="s">
        <v>2144</v>
      </c>
      <c r="X190" s="104" t="n">
        <f aca="false">IF(ISNUMBER(FIND("上限",S190)),1,0)</f>
        <v>0</v>
      </c>
      <c r="Y190" s="104" t="n">
        <v>0</v>
      </c>
    </row>
    <row r="191" customFormat="false" ht="15" hidden="false" customHeight="true" outlineLevel="0" collapsed="false">
      <c r="A191" s="35" t="s">
        <v>2145</v>
      </c>
      <c r="B191" s="35"/>
      <c r="C191" s="185" t="str">
        <f aca="false">Harness!C152</f>
        <v>Luna｜標準</v>
      </c>
      <c r="D191" s="185" t="str">
        <f aca="false">Harness!D152</f>
        <v>Luna｜標準</v>
      </c>
      <c r="E191" s="185" t="str">
        <f aca="false">Harness!E152</f>
        <v>Luna｜選定</v>
      </c>
      <c r="F191" s="185" t="str">
        <f aca="false">Harness!F152</f>
        <v>Luna｜選定</v>
      </c>
      <c r="G191" s="185" t="str">
        <f aca="false">Harness!G152</f>
        <v>Sol｜選定</v>
      </c>
      <c r="R191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$578)&gt;0,"B","A"))</f>
        <v>B</v>
      </c>
      <c r="S191" s="53" t="str">
        <f aca="false">IF(R191="—","—",IF(R191="A","基準輸入",IF(R191="B","情境、相對比較、反轉門檻","探索")))</f>
        <v>情境、相對比較、反轉門檻</v>
      </c>
      <c r="T191" s="54" t="s">
        <v>587</v>
      </c>
      <c r="U191" s="53" t="str">
        <f aca="false">IF(V191=0,"—",LEFT(TEXT(V191,"0"),4)&amp;"-"&amp;MID(TEXT(V191,"0"),5,2)&amp;"-"&amp;RIGHT(TEXT(V191,"0"),2))</f>
        <v>2026-10-05</v>
      </c>
      <c r="V191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$578)</f>
        <v>20261005</v>
      </c>
      <c r="W191" s="66" t="s">
        <v>2144</v>
      </c>
      <c r="X191" s="104" t="n">
        <f aca="false">IF(ISNUMBER(FIND("上限",S191)),1,0)</f>
        <v>0</v>
      </c>
      <c r="Y191" s="104" t="n">
        <v>0</v>
      </c>
    </row>
    <row r="192" customFormat="false" ht="15" hidden="false" customHeight="true" outlineLevel="0" collapsed="false">
      <c r="A192" s="35" t="s">
        <v>2146</v>
      </c>
      <c r="B192" s="36" t="s">
        <v>79</v>
      </c>
      <c r="C192" s="179" t="n">
        <f aca="false">Harness!C153</f>
        <v>0.962243725044712</v>
      </c>
      <c r="D192" s="179" t="n">
        <f aca="false">Harness!D153</f>
        <v>0.884017511243649</v>
      </c>
      <c r="E192" s="179" t="n">
        <f aca="false">Harness!E153</f>
        <v>0.723262011773013</v>
      </c>
      <c r="F192" s="179" t="n">
        <f aca="false">Harness!F153</f>
        <v>0.575444203093429</v>
      </c>
      <c r="G192" s="179" t="n">
        <f aca="false">Harness!G153</f>
        <v>0.627115119175411</v>
      </c>
      <c r="R192" s="85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$578)&gt;0,"B","A"))</f>
        <v>B</v>
      </c>
      <c r="S192" s="53" t="str">
        <f aca="false">IF(R192="—","—",IF(R192="A","基準輸入",IF(R192="B","情境、相對比較、反轉門檻","探索")))</f>
        <v>情境、相對比較、反轉門檻</v>
      </c>
      <c r="T192" s="54" t="s">
        <v>587</v>
      </c>
      <c r="U192" s="53" t="str">
        <f aca="false">IF(V192=0,"—",LEFT(TEXT(V192,"0"),4)&amp;"-"&amp;MID(TEXT(V192,"0"),5,2)&amp;"-"&amp;RIGHT(TEXT(V192,"0"),2))</f>
        <v>2026-10-05</v>
      </c>
      <c r="V192" s="8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$578)</f>
        <v>20261005</v>
      </c>
      <c r="W192" s="66" t="s">
        <v>2144</v>
      </c>
      <c r="X192" s="104" t="n">
        <f aca="false">IF(ISNUMBER(FIND("上限",S192)),1,0)</f>
        <v>0</v>
      </c>
      <c r="Y192" s="104" t="n">
        <v>0</v>
      </c>
    </row>
    <row r="194" customFormat="false" ht="15" hidden="false" customHeight="true" outlineLevel="0" collapsed="false">
      <c r="A194" s="34" t="s">
        <v>2147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35" t="s">
        <v>2148</v>
      </c>
      <c r="B195" s="36" t="s">
        <v>79</v>
      </c>
      <c r="C195" s="197" t="n">
        <f aca="false">AL_Q1</f>
        <v>0.573260920627556</v>
      </c>
      <c r="R195" s="8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5" s="53" t="str">
        <f aca="false">IF(R195="—","—",IF(R195="A","基準輸入",IF(R195="B","情境、相對比較、反轉門檻","探索")))</f>
        <v>情境、相對比較、反轉門檻</v>
      </c>
      <c r="T195" s="54" t="s">
        <v>1977</v>
      </c>
      <c r="U195" s="53" t="str">
        <f aca="false">IF(V195=0,"—",LEFT(TEXT(V195,"0"),4)&amp;"-"&amp;MID(TEXT(V195,"0"),5,2)&amp;"-"&amp;RIGHT(TEXT(V195,"0"),2))</f>
        <v>2026-10-05</v>
      </c>
      <c r="V195" s="82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5" s="66" t="s">
        <v>2149</v>
      </c>
      <c r="X195" s="104" t="n">
        <f aca="false">IF(ISNUMBER(FIND("上限",S195)),1,0)</f>
        <v>0</v>
      </c>
      <c r="Y195" s="104" t="n">
        <v>0</v>
      </c>
    </row>
    <row r="196" customFormat="false" ht="15" hidden="false" customHeight="true" outlineLevel="0" collapsed="false">
      <c r="A196" s="35" t="s">
        <v>2150</v>
      </c>
      <c r="B196" s="36" t="s">
        <v>79</v>
      </c>
      <c r="C196" s="198" t="n">
        <f aca="false">AL_Q1R2</f>
        <v>0.629360155786678</v>
      </c>
      <c r="R196" s="8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6" s="53" t="str">
        <f aca="false">IF(R196="—","—",IF(R196="A","基準輸入",IF(R196="B","情境、相對比較、反轉門檻","探索")))</f>
        <v>情境、相對比較、反轉門檻</v>
      </c>
      <c r="T196" s="54" t="s">
        <v>1977</v>
      </c>
      <c r="U196" s="53" t="str">
        <f aca="false">IF(V196=0,"—",LEFT(TEXT(V196,"0"),4)&amp;"-"&amp;MID(TEXT(V196,"0"),5,2)&amp;"-"&amp;RIGHT(TEXT(V196,"0"),2))</f>
        <v>2026-10-05</v>
      </c>
      <c r="V196" s="82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6" s="66" t="s">
        <v>2149</v>
      </c>
      <c r="X196" s="104" t="n">
        <f aca="false">IF(ISNUMBER(FIND("上限",S196)),1,0)</f>
        <v>0</v>
      </c>
      <c r="Y196" s="104" t="n">
        <v>0</v>
      </c>
    </row>
    <row r="197" customFormat="false" ht="15" hidden="false" customHeight="true" outlineLevel="0" collapsed="false">
      <c r="A197" s="35" t="s">
        <v>2151</v>
      </c>
      <c r="B197" s="36" t="s">
        <v>79</v>
      </c>
      <c r="C197" s="197" t="n">
        <f aca="false">AL_Q2</f>
        <v>0.602500004844985</v>
      </c>
      <c r="R197" s="85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$599)&gt;0,"B","A"))</f>
        <v>B</v>
      </c>
      <c r="S197" s="53" t="str">
        <f aca="false">IF(R197="—","—",IF(R197="A","基準輸入",IF(R197="B","情境、相對比較、反轉門檻","探索")))</f>
        <v>情境、相對比較、反轉門檻</v>
      </c>
      <c r="T197" s="54" t="s">
        <v>1977</v>
      </c>
      <c r="U197" s="53" t="str">
        <f aca="false">IF(V197=0,"—",LEFT(TEXT(V197,"0"),4)&amp;"-"&amp;MID(TEXT(V197,"0"),5,2)&amp;"-"&amp;RIGHT(TEXT(V197,"0"),2))</f>
        <v>2026-10-05</v>
      </c>
      <c r="V197" s="82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$599)</f>
        <v>20261005</v>
      </c>
      <c r="W197" s="66" t="s">
        <v>2152</v>
      </c>
      <c r="X197" s="104" t="n">
        <f aca="false">IF(ISNUMBER(FIND("上限",S197)),1,0)</f>
        <v>0</v>
      </c>
      <c r="Y197" s="104" t="n">
        <v>0</v>
      </c>
    </row>
    <row r="198" customFormat="false" ht="15" hidden="false" customHeight="true" outlineLevel="0" collapsed="false">
      <c r="A198" s="35" t="s">
        <v>2153</v>
      </c>
      <c r="B198" s="36" t="s">
        <v>71</v>
      </c>
      <c r="C198" s="199" t="n">
        <f aca="false">AL_ServeGW</f>
        <v>0.0675062707396196</v>
      </c>
      <c r="R198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53" t="str">
        <f aca="false">IF(R198="—","—",IF(R198="A","基準輸入",IF(R198="B","情境、相對比較、反轉門檻","探索")))</f>
        <v>情境、相對比較、反轉門檻</v>
      </c>
      <c r="T198" s="54" t="s">
        <v>1977</v>
      </c>
      <c r="U198" s="53" t="str">
        <f aca="false">IF(V198=0,"—",LEFT(TEXT(V198,"0"),4)&amp;"-"&amp;MID(TEXT(V198,"0"),5,2)&amp;"-"&amp;RIGHT(TEXT(V198,"0"),2))</f>
        <v>2026-10-05</v>
      </c>
      <c r="V198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66" t="s">
        <v>2154</v>
      </c>
      <c r="X198" s="104" t="n">
        <f aca="false">IF(ISNUMBER(FIND("上限",S198)),1,0)</f>
        <v>0</v>
      </c>
      <c r="Y198" s="104" t="n">
        <v>0</v>
      </c>
    </row>
    <row r="199" customFormat="false" ht="15" hidden="false" customHeight="true" outlineLevel="0" collapsed="false">
      <c r="A199" s="35" t="s">
        <v>2155</v>
      </c>
      <c r="B199" s="36" t="s">
        <v>1784</v>
      </c>
      <c r="C199" s="199" t="n">
        <f aca="false">AL_RDGW</f>
        <v>0.0906847035646163</v>
      </c>
      <c r="R199" s="85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$599)&gt;0,"B","A"))</f>
        <v>B</v>
      </c>
      <c r="S199" s="53" t="str">
        <f aca="false">IF(R199="—","—",IF(R199="A","基準輸入",IF(R199="B","情境、相對比較、反轉門檻","探索")))</f>
        <v>情境、相對比較、反轉門檻</v>
      </c>
      <c r="T199" s="54" t="s">
        <v>587</v>
      </c>
      <c r="U199" s="53" t="str">
        <f aca="false">IF(V199=0,"—",LEFT(TEXT(V199,"0"),4)&amp;"-"&amp;MID(TEXT(V199,"0"),5,2)&amp;"-"&amp;RIGHT(TEXT(V199,"0"),2))</f>
        <v>2026-10-05</v>
      </c>
      <c r="V199" s="82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$599)</f>
        <v>20261005</v>
      </c>
      <c r="W199" s="66" t="s">
        <v>2156</v>
      </c>
      <c r="X199" s="104" t="n">
        <f aca="false">IF(ISNUMBER(FIND("上限",S199)),1,0)</f>
        <v>0</v>
      </c>
      <c r="Y199" s="104" t="n">
        <v>0</v>
      </c>
    </row>
    <row r="200" customFormat="false" ht="15" hidden="false" customHeight="true" outlineLevel="0" collapsed="false">
      <c r="A200" s="35" t="s">
        <v>2157</v>
      </c>
      <c r="B200" s="36" t="s">
        <v>766</v>
      </c>
      <c r="C200" s="49" t="n">
        <f aca="false">AL_D</f>
        <v>6015200000</v>
      </c>
      <c r="R200" s="85" t="str">
        <f aca="false">IF(SUM(Gov_Map!$AG$588,Gov_Map!$AG$590,Gov_Map!$AG$592)&gt;0,"C",IF(SUM(Gov_Map!$AH$588,Gov_Map!$AH$590,Gov_Map!$AH$592)&gt;0,"B","A"))</f>
        <v>B</v>
      </c>
      <c r="S200" s="53" t="str">
        <f aca="false">IF(R200="—","—",IF(R200="A","基準輸入",IF(R200="B","情境、相對比較、反轉門檻","探索")))</f>
        <v>情境、相對比較、反轉門檻</v>
      </c>
      <c r="T200" s="54" t="s">
        <v>587</v>
      </c>
      <c r="U200" s="53" t="str">
        <f aca="false">IF(V200=0,"—",LEFT(TEXT(V200,"0"),4)&amp;"-"&amp;MID(TEXT(V200,"0"),5,2)&amp;"-"&amp;RIGHT(TEXT(V200,"0"),2))</f>
        <v>—</v>
      </c>
      <c r="V200" s="82" t="n">
        <f aca="false">MAX(Gov_Map!$AJ$588,Gov_Map!$AJ$590,Gov_Map!$AJ$592)</f>
        <v>0</v>
      </c>
      <c r="W200" s="66" t="s">
        <v>2158</v>
      </c>
      <c r="X200" s="104" t="n">
        <f aca="false">IF(ISNUMBER(FIND("上限",S200)),1,0)</f>
        <v>0</v>
      </c>
      <c r="Y200" s="104" t="n">
        <v>0</v>
      </c>
    </row>
    <row r="201" customFormat="false" ht="15" hidden="false" customHeight="true" outlineLevel="0" collapsed="false">
      <c r="A201" s="35" t="s">
        <v>2159</v>
      </c>
      <c r="B201" s="35" t="s">
        <v>295</v>
      </c>
      <c r="C201" s="194" t="n">
        <f aca="false">AL_ImpliedNk</f>
        <v>1.32169653271046</v>
      </c>
      <c r="R201" s="85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$599)&gt;0,"B","A"))</f>
        <v>B</v>
      </c>
      <c r="S201" s="53" t="str">
        <f aca="false">IF(R201="—","—",IF(R201="A","基準輸入",IF(R201="B","情境、相對比較、反轉門檻","探索")))</f>
        <v>情境、相對比較、反轉門檻</v>
      </c>
      <c r="T201" s="54" t="s">
        <v>1977</v>
      </c>
      <c r="U201" s="53" t="str">
        <f aca="false">IF(V201=0,"—",LEFT(TEXT(V201,"0"),4)&amp;"-"&amp;MID(TEXT(V201,"0"),5,2)&amp;"-"&amp;RIGHT(TEXT(V201,"0"),2))</f>
        <v>2026-10-05</v>
      </c>
      <c r="V201" s="82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$599)</f>
        <v>20261005</v>
      </c>
      <c r="W201" s="66" t="s">
        <v>2160</v>
      </c>
      <c r="X201" s="104" t="n">
        <f aca="false">IF(ISNUMBER(FIND("上限",S201)),1,0)</f>
        <v>0</v>
      </c>
      <c r="Y201" s="104" t="n">
        <v>0</v>
      </c>
    </row>
    <row r="203" customFormat="false" ht="15" hidden="false" customHeight="true" outlineLevel="0" collapsed="false">
      <c r="A203" s="34" t="s">
        <v>2161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35" t="s">
        <v>2162</v>
      </c>
      <c r="B204" s="36" t="s">
        <v>774</v>
      </c>
      <c r="C204" s="176" t="n">
        <f aca="false">Theory_Rev_Prod!C18</f>
        <v>0.205353721887643</v>
      </c>
      <c r="D204" s="176" t="n">
        <f aca="false">Theory_Rev_Prod!D18</f>
        <v>0.296166111126818</v>
      </c>
      <c r="E204" s="176" t="n">
        <f aca="false">Theory_Rev_Prod!E18</f>
        <v>0.510606615774497</v>
      </c>
      <c r="F204" s="176" t="n">
        <f aca="false">Theory_Rev_Prod!F18</f>
        <v>0.0359223876922125</v>
      </c>
      <c r="G204" s="176" t="n">
        <f aca="false">Theory_Rev_Prod!G18</f>
        <v>0.0483502062239744</v>
      </c>
      <c r="H204" s="176" t="n">
        <f aca="false">Theory_Rev_Prod!H18</f>
        <v>0.078652884339573</v>
      </c>
      <c r="I204" s="176" t="n">
        <f aca="false">Theory_Rev_Prod!I18</f>
        <v>0.0314256294022863</v>
      </c>
      <c r="J204" s="176" t="n">
        <f aca="false">Theory_Rev_Prod!J18</f>
        <v>0.045919148892524</v>
      </c>
      <c r="K204" s="176" t="n">
        <f aca="false">Theory_Rev_Prod!K18</f>
        <v>0.0861357187145162</v>
      </c>
      <c r="L204" s="176" t="n">
        <f aca="false">Theory_Rev_Prod!L18</f>
        <v>0.023662395067677</v>
      </c>
      <c r="M204" s="176" t="n">
        <f aca="false">Theory_Rev_Prod!M18</f>
        <v>0.0306961446518426</v>
      </c>
      <c r="N204" s="176" t="n">
        <f aca="false">Theory_Rev_Prod!N18</f>
        <v>0.0497297515471272</v>
      </c>
      <c r="O204" s="176" t="n">
        <f aca="false">Theory_Rev_Prod!O18</f>
        <v>0.0184364188585288</v>
      </c>
      <c r="P204" s="176" t="n">
        <f aca="false">Theory_Rev_Prod!P18</f>
        <v>0.0283386470717087</v>
      </c>
      <c r="Q204" s="176" t="n">
        <f aca="false">Theory_Rev_Prod!Q18</f>
        <v>0.0519344844089503</v>
      </c>
      <c r="R204" s="8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$599)&gt;0,"B","A"))</f>
        <v>B</v>
      </c>
      <c r="S204" s="53" t="str">
        <f aca="false">IF(R204="—","—",IF(R204="A","基準輸入",IF(R204="B","情境、相對比較、反轉門檻","探索")))</f>
        <v>情境、相對比較、反轉門檻</v>
      </c>
      <c r="T204" s="54" t="s">
        <v>2163</v>
      </c>
      <c r="U204" s="53" t="str">
        <f aca="false">IF(V204=0,"—",LEFT(TEXT(V204,"0"),4)&amp;"-"&amp;MID(TEXT(V204,"0"),5,2)&amp;"-"&amp;RIGHT(TEXT(V204,"0"),2))</f>
        <v>2026-10-05</v>
      </c>
      <c r="V204" s="82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$599)</f>
        <v>20261005</v>
      </c>
      <c r="W204" s="66" t="s">
        <v>2164</v>
      </c>
      <c r="X204" s="104" t="n">
        <f aca="false">IF(ISNUMBER(FIND("上限",S204)),1,0)</f>
        <v>0</v>
      </c>
      <c r="Y204" s="104" t="n">
        <v>0</v>
      </c>
    </row>
    <row r="205" customFormat="false" ht="15" hidden="false" customHeight="true" outlineLevel="0" collapsed="false">
      <c r="A205" s="35" t="s">
        <v>2165</v>
      </c>
      <c r="B205" s="36" t="s">
        <v>774</v>
      </c>
      <c r="C205" s="176" t="n">
        <f aca="false">Theory_Rev_Prod!C36</f>
        <v>0.792522526975221</v>
      </c>
      <c r="D205" s="176" t="n">
        <f aca="false">Theory_Rev_Prod!D36</f>
        <v>1.1430068747879</v>
      </c>
      <c r="E205" s="176" t="n">
        <f aca="false">Theory_Rev_Prod!E36</f>
        <v>1.97062567268249</v>
      </c>
      <c r="F205" s="176" t="n">
        <f aca="false">Theory_Rev_Prod!F36</f>
        <v>0.131833567507038</v>
      </c>
      <c r="G205" s="176" t="n">
        <f aca="false">Theory_Rev_Prod!G36</f>
        <v>0.177451549339561</v>
      </c>
      <c r="H205" s="176" t="n">
        <f aca="false">Theory_Rev_Prod!H36</f>
        <v>0.288681610852069</v>
      </c>
      <c r="I205" s="176" t="n">
        <f aca="false">Theory_Rev_Prod!I36</f>
        <v>0.115446900266737</v>
      </c>
      <c r="J205" s="176" t="n">
        <f aca="false">Theory_Rev_Prod!J36</f>
        <v>0.168702351167245</v>
      </c>
      <c r="K205" s="176" t="n">
        <f aca="false">Theory_Rev_Prod!K36</f>
        <v>0.316475399734541</v>
      </c>
      <c r="L205" s="176" t="n">
        <f aca="false">Theory_Rev_Prod!L36</f>
        <v>0.0773745047828052</v>
      </c>
      <c r="M205" s="176" t="n">
        <f aca="false">Theory_Rev_Prod!M36</f>
        <v>0.100380375973393</v>
      </c>
      <c r="N205" s="176" t="n">
        <f aca="false">Theory_Rev_Prod!N36</f>
        <v>0.162635180937016</v>
      </c>
      <c r="O205" s="176" t="n">
        <f aca="false">Theory_Rev_Prod!O36</f>
        <v>0.0580792132071568</v>
      </c>
      <c r="P205" s="176" t="n">
        <f aca="false">Theory_Rev_Prod!P36</f>
        <v>0.089283726492419</v>
      </c>
      <c r="Q205" s="176" t="n">
        <f aca="false">Theory_Rev_Prod!Q36</f>
        <v>0.163640386813257</v>
      </c>
      <c r="R205" s="8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$599)&gt;0,"B","A"))</f>
        <v>B</v>
      </c>
      <c r="S205" s="53" t="str">
        <f aca="false">IF(R205="—","—",IF(R205="A","基準輸入",IF(R205="B","情境、相對比較、反轉門檻","探索")))</f>
        <v>情境、相對比較、反轉門檻</v>
      </c>
      <c r="T205" s="54" t="s">
        <v>2163</v>
      </c>
      <c r="U205" s="53" t="str">
        <f aca="false">IF(V205=0,"—",LEFT(TEXT(V205,"0"),4)&amp;"-"&amp;MID(TEXT(V205,"0"),5,2)&amp;"-"&amp;RIGHT(TEXT(V205,"0"),2))</f>
        <v>2026-10-05</v>
      </c>
      <c r="V205" s="82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$599)</f>
        <v>20261005</v>
      </c>
      <c r="W205" s="66" t="s">
        <v>2164</v>
      </c>
      <c r="X205" s="104" t="n">
        <f aca="false">IF(ISNUMBER(FIND("上限",S205)),1,0)</f>
        <v>0</v>
      </c>
      <c r="Y205" s="104" t="n">
        <v>0</v>
      </c>
    </row>
    <row r="206" customFormat="false" ht="15" hidden="false" customHeight="true" outlineLevel="0" collapsed="false">
      <c r="A206" s="35" t="s">
        <v>2166</v>
      </c>
      <c r="B206" s="36" t="s">
        <v>774</v>
      </c>
      <c r="C206" s="176" t="n">
        <f aca="false">Theory_Rev_Prod!C54</f>
        <v>14.2439226561166</v>
      </c>
      <c r="D206" s="176" t="n">
        <f aca="false">Theory_Rev_Prod!D54</f>
        <v>20.5431637897967</v>
      </c>
      <c r="E206" s="176" t="n">
        <f aca="false">Theory_Rev_Prod!E54</f>
        <v>35.4179232683311</v>
      </c>
      <c r="F206" s="176" t="n">
        <f aca="false">Theory_Rev_Prod!F54</f>
        <v>1.29596056429985</v>
      </c>
      <c r="G206" s="176" t="n">
        <f aca="false">Theory_Rev_Prod!G54</f>
        <v>1.7443730111022</v>
      </c>
      <c r="H206" s="176" t="n">
        <f aca="false">Theory_Rev_Prod!H54</f>
        <v>2.83773448912445</v>
      </c>
      <c r="I206" s="176" t="n">
        <f aca="false">Theory_Rev_Prod!I54</f>
        <v>1.34769106823824</v>
      </c>
      <c r="J206" s="176" t="n">
        <f aca="false">Theory_Rev_Prod!J54</f>
        <v>1.96935834448293</v>
      </c>
      <c r="K206" s="176" t="n">
        <f aca="false">Theory_Rev_Prod!K54</f>
        <v>3.69435864120056</v>
      </c>
      <c r="L206" s="176" t="n">
        <f aca="false">Theory_Rev_Prod!L54</f>
        <v>0.568870055196253</v>
      </c>
      <c r="M206" s="176" t="n">
        <f aca="false">Theory_Rev_Prod!M54</f>
        <v>0.737980205785387</v>
      </c>
      <c r="N206" s="176" t="n">
        <f aca="false">Theory_Rev_Prod!N54</f>
        <v>1.19559901774339</v>
      </c>
      <c r="O206" s="176" t="n">
        <f aca="false">Theory_Rev_Prod!O54</f>
        <v>0.364805605759941</v>
      </c>
      <c r="P206" s="176" t="n">
        <f aca="false">Theory_Rev_Prod!P54</f>
        <v>0.560738464131129</v>
      </c>
      <c r="Q206" s="176" t="n">
        <f aca="false">Theory_Rev_Prod!Q54</f>
        <v>1.02762326577545</v>
      </c>
      <c r="R206" s="85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$599)&gt;0,"B","A"))</f>
        <v>B</v>
      </c>
      <c r="S206" s="53" t="str">
        <f aca="false">IF(R206="—","—",IF(R206="A","基準輸入",IF(R206="B","情境、相對比較、反轉門檻","探索")))</f>
        <v>情境、相對比較、反轉門檻</v>
      </c>
      <c r="T206" s="54" t="s">
        <v>2163</v>
      </c>
      <c r="U206" s="53" t="str">
        <f aca="false">IF(V206=0,"—",LEFT(TEXT(V206,"0"),4)&amp;"-"&amp;MID(TEXT(V206,"0"),5,2)&amp;"-"&amp;RIGHT(TEXT(V206,"0"),2))</f>
        <v>2026-10-05</v>
      </c>
      <c r="V206" s="82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$599)</f>
        <v>20261005</v>
      </c>
      <c r="W206" s="66" t="s">
        <v>2164</v>
      </c>
      <c r="X206" s="104" t="n">
        <f aca="false">IF(ISNUMBER(FIND("上限",S206)),1,0)</f>
        <v>0</v>
      </c>
      <c r="Y206" s="104" t="n">
        <v>0</v>
      </c>
    </row>
    <row r="207" customFormat="false" ht="15" hidden="false" customHeight="true" outlineLevel="0" collapsed="false">
      <c r="A207" s="35" t="s">
        <v>2167</v>
      </c>
      <c r="B207" s="36" t="s">
        <v>1371</v>
      </c>
      <c r="C207" s="190" t="n">
        <f aca="false">Theory_Rev_Prod!C11</f>
        <v>2.44762339054934</v>
      </c>
      <c r="D207" s="190" t="n">
        <f aca="false">Theory_Rev_Prod!D11</f>
        <v>2.44762339054934</v>
      </c>
      <c r="E207" s="190" t="n">
        <f aca="false">Theory_Rev_Prod!E11</f>
        <v>2.44762339054934</v>
      </c>
      <c r="F207" s="190" t="n">
        <f aca="false">Theory_Rev_Prod!F11</f>
        <v>13.6555857459493</v>
      </c>
      <c r="G207" s="190" t="n">
        <f aca="false">Theory_Rev_Prod!G11</f>
        <v>13.6555857459493</v>
      </c>
      <c r="H207" s="190" t="n">
        <f aca="false">Theory_Rev_Prod!H11</f>
        <v>13.6555857459493</v>
      </c>
      <c r="I207" s="190" t="n">
        <f aca="false">Theory_Rev_Prod!I11</f>
        <v>19.8808398591479</v>
      </c>
      <c r="J207" s="190" t="n">
        <f aca="false">Theory_Rev_Prod!J11</f>
        <v>19.8808398591479</v>
      </c>
      <c r="K207" s="190" t="n">
        <f aca="false">Theory_Rev_Prod!K11</f>
        <v>19.8808398591479</v>
      </c>
      <c r="L207" s="190" t="n">
        <f aca="false">Theory_Rev_Prod!L11</f>
        <v>29.3255549100997</v>
      </c>
      <c r="M207" s="190" t="n">
        <f aca="false">Theory_Rev_Prod!M11</f>
        <v>29.3255549100997</v>
      </c>
      <c r="N207" s="190" t="n">
        <f aca="false">Theory_Rev_Prod!N11</f>
        <v>29.3255549100997</v>
      </c>
      <c r="O207" s="190" t="n">
        <f aca="false">Theory_Rev_Prod!O11</f>
        <v>39.6992397829504</v>
      </c>
      <c r="P207" s="190" t="n">
        <f aca="false">Theory_Rev_Prod!P11</f>
        <v>39.6992397829504</v>
      </c>
      <c r="Q207" s="190" t="n">
        <f aca="false">Theory_Rev_Prod!Q11</f>
        <v>39.6992397829504</v>
      </c>
      <c r="R207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53" t="str">
        <f aca="false">IF(R207="—","—",IF(R207="A","基準輸入",IF(R207="B","情境、相對比較、反轉門檻","探索")))</f>
        <v>情境、相對比較、反轉門檻</v>
      </c>
      <c r="T207" s="54" t="s">
        <v>2163</v>
      </c>
      <c r="U207" s="53" t="str">
        <f aca="false">IF(V207=0,"—",LEFT(TEXT(V207,"0"),4)&amp;"-"&amp;MID(TEXT(V207,"0"),5,2)&amp;"-"&amp;RIGHT(TEXT(V207,"0"),2))</f>
        <v>2026-10-05</v>
      </c>
      <c r="V207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66" t="s">
        <v>2168</v>
      </c>
      <c r="X207" s="104" t="n">
        <f aca="false">IF(ISNUMBER(FIND("上限",S207)),1,0)</f>
        <v>0</v>
      </c>
      <c r="Y207" s="104" t="n">
        <v>0</v>
      </c>
    </row>
    <row r="208" customFormat="false" ht="15" hidden="false" customHeight="true" outlineLevel="0" collapsed="false">
      <c r="A208" s="35" t="s">
        <v>2169</v>
      </c>
      <c r="B208" s="36" t="s">
        <v>1371</v>
      </c>
      <c r="C208" s="190" t="n">
        <f aca="false">Theory_Rev_Prod!C29</f>
        <v>15.1336974133362</v>
      </c>
      <c r="D208" s="190" t="n">
        <f aca="false">Theory_Rev_Prod!D29</f>
        <v>15.1336974133362</v>
      </c>
      <c r="E208" s="190" t="n">
        <f aca="false">Theory_Rev_Prod!E29</f>
        <v>15.1336974133362</v>
      </c>
      <c r="F208" s="190" t="n">
        <f aca="false">Theory_Rev_Prod!F29</f>
        <v>80.1519532436076</v>
      </c>
      <c r="G208" s="190" t="n">
        <f aca="false">Theory_Rev_Prod!G29</f>
        <v>80.1519532436076</v>
      </c>
      <c r="H208" s="190" t="n">
        <f aca="false">Theory_Rev_Prod!H29</f>
        <v>80.1519532436076</v>
      </c>
      <c r="I208" s="190" t="n">
        <f aca="false">Theory_Rev_Prod!I29</f>
        <v>116.69130687468</v>
      </c>
      <c r="J208" s="190" t="n">
        <f aca="false">Theory_Rev_Prod!J29</f>
        <v>116.69130687468</v>
      </c>
      <c r="K208" s="190" t="n">
        <f aca="false">Theory_Rev_Prod!K29</f>
        <v>116.69130687468</v>
      </c>
      <c r="L208" s="190" t="n">
        <f aca="false">Theory_Rev_Prod!L29</f>
        <v>184.79597204631</v>
      </c>
      <c r="M208" s="190" t="n">
        <f aca="false">Theory_Rev_Prod!M29</f>
        <v>184.79597204631</v>
      </c>
      <c r="N208" s="190" t="n">
        <f aca="false">Theory_Rev_Prod!N29</f>
        <v>184.79597204631</v>
      </c>
      <c r="O208" s="190" t="n">
        <f aca="false">Theory_Rev_Prod!O29</f>
        <v>254.725350558298</v>
      </c>
      <c r="P208" s="190" t="n">
        <f aca="false">Theory_Rev_Prod!P29</f>
        <v>254.725350558298</v>
      </c>
      <c r="Q208" s="190" t="n">
        <f aca="false">Theory_Rev_Prod!Q29</f>
        <v>254.725350558298</v>
      </c>
      <c r="R208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53" t="str">
        <f aca="false">IF(R208="—","—",IF(R208="A","基準輸入",IF(R208="B","情境、相對比較、反轉門檻","探索")))</f>
        <v>情境、相對比較、反轉門檻</v>
      </c>
      <c r="T208" s="54" t="s">
        <v>2163</v>
      </c>
      <c r="U208" s="53" t="str">
        <f aca="false">IF(V208=0,"—",LEFT(TEXT(V208,"0"),4)&amp;"-"&amp;MID(TEXT(V208,"0"),5,2)&amp;"-"&amp;RIGHT(TEXT(V208,"0"),2))</f>
        <v>2026-10-05</v>
      </c>
      <c r="V208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66" t="s">
        <v>2168</v>
      </c>
      <c r="X208" s="104" t="n">
        <f aca="false">IF(ISNUMBER(FIND("上限",S208)),1,0)</f>
        <v>0</v>
      </c>
      <c r="Y208" s="104" t="n">
        <v>0</v>
      </c>
    </row>
    <row r="209" customFormat="false" ht="15" hidden="false" customHeight="true" outlineLevel="0" collapsed="false">
      <c r="A209" s="35" t="s">
        <v>2170</v>
      </c>
      <c r="B209" s="36" t="s">
        <v>1371</v>
      </c>
      <c r="C209" s="190" t="n">
        <f aca="false">Theory_Rev_Prod!C47</f>
        <v>9.08886774488705</v>
      </c>
      <c r="D209" s="190" t="n">
        <f aca="false">Theory_Rev_Prod!D47</f>
        <v>9.08886774488705</v>
      </c>
      <c r="E209" s="190" t="n">
        <f aca="false">Theory_Rev_Prod!E47</f>
        <v>9.08886774488705</v>
      </c>
      <c r="F209" s="190" t="n">
        <f aca="false">Theory_Rev_Prod!F47</f>
        <v>70.8060260045462</v>
      </c>
      <c r="G209" s="190" t="n">
        <f aca="false">Theory_Rev_Prod!G47</f>
        <v>70.8060260045462</v>
      </c>
      <c r="H209" s="190" t="n">
        <f aca="false">Theory_Rev_Prod!H47</f>
        <v>70.8060260045462</v>
      </c>
      <c r="I209" s="190" t="n">
        <f aca="false">Theory_Rev_Prod!I47</f>
        <v>81.6810591163036</v>
      </c>
      <c r="J209" s="190" t="n">
        <f aca="false">Theory_Rev_Prod!J47</f>
        <v>81.6810591163036</v>
      </c>
      <c r="K209" s="190" t="n">
        <f aca="false">Theory_Rev_Prod!K47</f>
        <v>81.6810591163036</v>
      </c>
      <c r="L209" s="190" t="n">
        <f aca="false">Theory_Rev_Prod!L47</f>
        <v>188.934678809326</v>
      </c>
      <c r="M209" s="190" t="n">
        <f aca="false">Theory_Rev_Prod!M47</f>
        <v>188.934678809326</v>
      </c>
      <c r="N209" s="190" t="n">
        <f aca="false">Theory_Rev_Prod!N47</f>
        <v>188.934678809326</v>
      </c>
      <c r="O209" s="190" t="n">
        <f aca="false">Theory_Rev_Prod!O47</f>
        <v>278.482692813541</v>
      </c>
      <c r="P209" s="190" t="n">
        <f aca="false">Theory_Rev_Prod!P47</f>
        <v>278.482692813541</v>
      </c>
      <c r="Q209" s="190" t="n">
        <f aca="false">Theory_Rev_Prod!Q47</f>
        <v>278.482692813541</v>
      </c>
      <c r="R209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53" t="str">
        <f aca="false">IF(R209="—","—",IF(R209="A","基準輸入",IF(R209="B","情境、相對比較、反轉門檻","探索")))</f>
        <v>情境、相對比較、反轉門檻</v>
      </c>
      <c r="T209" s="54" t="s">
        <v>2163</v>
      </c>
      <c r="U209" s="53" t="str">
        <f aca="false">IF(V209=0,"—",LEFT(TEXT(V209,"0"),4)&amp;"-"&amp;MID(TEXT(V209,"0"),5,2)&amp;"-"&amp;RIGHT(TEXT(V209,"0"),2))</f>
        <v>2026-10-05</v>
      </c>
      <c r="V209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66" t="s">
        <v>2168</v>
      </c>
      <c r="X209" s="104" t="n">
        <f aca="false">IF(ISNUMBER(FIND("上限",S209)),1,0)</f>
        <v>0</v>
      </c>
      <c r="Y209" s="104" t="n">
        <v>0</v>
      </c>
    </row>
    <row r="210" customFormat="false" ht="15" hidden="false" customHeight="true" outlineLevel="0" collapsed="false">
      <c r="A210" s="35" t="s">
        <v>2171</v>
      </c>
      <c r="B210" s="36" t="s">
        <v>1371</v>
      </c>
      <c r="C210" s="190" t="n">
        <f aca="false">Theory_Rev_Prod!C67</f>
        <v>2.24296199760285</v>
      </c>
      <c r="D210" s="190" t="n">
        <f aca="false">Theory_Rev_Prod!D67</f>
        <v>2.24296199760285</v>
      </c>
      <c r="E210" s="190" t="n">
        <f aca="false">Theory_Rev_Prod!E67</f>
        <v>2.24296199760285</v>
      </c>
      <c r="F210" s="190" t="n">
        <f aca="false">Theory_Rev_Prod!F67</f>
        <v>15.2851605558118</v>
      </c>
      <c r="G210" s="190" t="n">
        <f aca="false">Theory_Rev_Prod!G67</f>
        <v>15.2851605558118</v>
      </c>
      <c r="H210" s="190" t="n">
        <f aca="false">Theory_Rev_Prod!H67</f>
        <v>15.2851605558118</v>
      </c>
      <c r="I210" s="190" t="n">
        <f aca="false">Theory_Rev_Prod!I67</f>
        <v>19.2324652424837</v>
      </c>
      <c r="J210" s="190" t="n">
        <f aca="false">Theory_Rev_Prod!J67</f>
        <v>19.2324652424837</v>
      </c>
      <c r="K210" s="190" t="n">
        <f aca="false">Theory_Rev_Prod!K67</f>
        <v>19.2324652424837</v>
      </c>
      <c r="L210" s="190" t="n">
        <f aca="false">Theory_Rev_Prod!L67</f>
        <v>38.1145472754025</v>
      </c>
      <c r="M210" s="190" t="n">
        <f aca="false">Theory_Rev_Prod!M67</f>
        <v>38.1145472754025</v>
      </c>
      <c r="N210" s="190" t="n">
        <f aca="false">Theory_Rev_Prod!N67</f>
        <v>38.1145472754025</v>
      </c>
      <c r="O210" s="190" t="n">
        <f aca="false">Theory_Rev_Prod!O67</f>
        <v>54.4181760054532</v>
      </c>
      <c r="P210" s="190" t="n">
        <f aca="false">Theory_Rev_Prod!P67</f>
        <v>54.4181760054532</v>
      </c>
      <c r="Q210" s="190" t="n">
        <f aca="false">Theory_Rev_Prod!Q67</f>
        <v>54.4181760054532</v>
      </c>
      <c r="R210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53" t="str">
        <f aca="false">IF(R210="—","—",IF(R210="A","基準輸入",IF(R210="B","情境、相對比較、反轉門檻","探索")))</f>
        <v>情境、相對比較、反轉門檻</v>
      </c>
      <c r="T210" s="54" t="s">
        <v>2163</v>
      </c>
      <c r="U210" s="53" t="str">
        <f aca="false">IF(V210=0,"—",LEFT(TEXT(V210,"0"),4)&amp;"-"&amp;MID(TEXT(V210,"0"),5,2)&amp;"-"&amp;RIGHT(TEXT(V210,"0"),2))</f>
        <v>2026-10-05</v>
      </c>
      <c r="V210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66" t="s">
        <v>2172</v>
      </c>
      <c r="X210" s="104" t="n">
        <f aca="false">IF(ISNUMBER(FIND("上限",S210)),1,0)</f>
        <v>0</v>
      </c>
      <c r="Y210" s="104" t="n">
        <v>0</v>
      </c>
    </row>
    <row r="212" customFormat="false" ht="15" hidden="false" customHeight="true" outlineLevel="0" collapsed="false">
      <c r="A212" s="34" t="s">
        <v>2173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35" t="s">
        <v>2174</v>
      </c>
      <c r="B213" s="36" t="s">
        <v>1371</v>
      </c>
      <c r="C213" s="190" t="n">
        <f aca="false">Theory_Rev!C90</f>
        <v>3.57102907624799</v>
      </c>
      <c r="D213" s="190" t="n">
        <f aca="false">Theory_Rev!D90</f>
        <v>3.57102907624799</v>
      </c>
      <c r="E213" s="190" t="n">
        <f aca="false">Theory_Rev!E90</f>
        <v>3.57102907624799</v>
      </c>
      <c r="F213" s="190" t="n">
        <f aca="false">Theory_Rev!F90</f>
        <v>17.4680230535144</v>
      </c>
      <c r="G213" s="190" t="n">
        <f aca="false">Theory_Rev!G90</f>
        <v>17.4680230535144</v>
      </c>
      <c r="H213" s="190" t="n">
        <f aca="false">Theory_Rev!H90</f>
        <v>17.4680230535144</v>
      </c>
      <c r="I213" s="190" t="n">
        <f aca="false">Theory_Rev!I90</f>
        <v>25.4312759220773</v>
      </c>
      <c r="J213" s="190" t="n">
        <f aca="false">Theory_Rev!J90</f>
        <v>25.4312759220773</v>
      </c>
      <c r="K213" s="190" t="n">
        <f aca="false">Theory_Rev!K90</f>
        <v>25.4312759220773</v>
      </c>
      <c r="L213" s="190" t="n">
        <f aca="false">Theory_Rev!L90</f>
        <v>37.2582226398973</v>
      </c>
      <c r="M213" s="190" t="n">
        <f aca="false">Theory_Rev!M90</f>
        <v>37.2582226398973</v>
      </c>
      <c r="N213" s="190" t="n">
        <f aca="false">Theory_Rev!N90</f>
        <v>37.2582226398973</v>
      </c>
      <c r="O213" s="190" t="n">
        <f aca="false">Theory_Rev!O90</f>
        <v>50.3527379522069</v>
      </c>
      <c r="P213" s="190" t="n">
        <f aca="false">Theory_Rev!P90</f>
        <v>50.3527379522069</v>
      </c>
      <c r="Q213" s="190" t="n">
        <f aca="false">Theory_Rev!Q90</f>
        <v>50.3527379522069</v>
      </c>
      <c r="R213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3" s="53" t="str">
        <f aca="false">IF(R213="—","—",IF(R213="A","基準輸入",IF(R213="B","情境、相對比較、反轉門檻","探索")))</f>
        <v>情境、相對比較、反轉門檻</v>
      </c>
      <c r="T213" s="54" t="s">
        <v>2175</v>
      </c>
      <c r="U213" s="53" t="str">
        <f aca="false">IF(V213=0,"—",LEFT(TEXT(V213,"0"),4)&amp;"-"&amp;MID(TEXT(V213,"0"),5,2)&amp;"-"&amp;RIGHT(TEXT(V213,"0"),2))</f>
        <v>2026-10-05</v>
      </c>
      <c r="V213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3" s="66" t="s">
        <v>2176</v>
      </c>
      <c r="X213" s="104" t="n">
        <f aca="false">IF(ISNUMBER(FIND("上限",S213)),1,0)</f>
        <v>0</v>
      </c>
      <c r="Y213" s="104" t="n">
        <v>0</v>
      </c>
    </row>
    <row r="214" customFormat="false" ht="15" hidden="false" customHeight="true" outlineLevel="0" collapsed="false">
      <c r="A214" s="35" t="s">
        <v>2177</v>
      </c>
      <c r="B214" s="36" t="s">
        <v>1371</v>
      </c>
      <c r="C214" s="190" t="n">
        <f aca="false">Theory_Rev!C91</f>
        <v>20.7225049979976</v>
      </c>
      <c r="D214" s="190" t="n">
        <f aca="false">Theory_Rev!D91</f>
        <v>20.7225049979976</v>
      </c>
      <c r="E214" s="190" t="n">
        <f aca="false">Theory_Rev!E91</f>
        <v>20.7225049979976</v>
      </c>
      <c r="F214" s="190" t="n">
        <f aca="false">Theory_Rev!F91</f>
        <v>100.404653415384</v>
      </c>
      <c r="G214" s="190" t="n">
        <f aca="false">Theory_Rev!G91</f>
        <v>100.404653415384</v>
      </c>
      <c r="H214" s="190" t="n">
        <f aca="false">Theory_Rev!H91</f>
        <v>100.404653415384</v>
      </c>
      <c r="I214" s="190" t="n">
        <f aca="false">Theory_Rev!I91</f>
        <v>146.176727443319</v>
      </c>
      <c r="J214" s="190" t="n">
        <f aca="false">Theory_Rev!J91</f>
        <v>146.176727443319</v>
      </c>
      <c r="K214" s="190" t="n">
        <f aca="false">Theory_Rev!K91</f>
        <v>146.176727443319</v>
      </c>
      <c r="L214" s="190" t="n">
        <f aca="false">Theory_Rev!L91</f>
        <v>228.808271164193</v>
      </c>
      <c r="M214" s="190" t="n">
        <f aca="false">Theory_Rev!M91</f>
        <v>228.808271164193</v>
      </c>
      <c r="N214" s="190" t="n">
        <f aca="false">Theory_Rev!N91</f>
        <v>228.808271164193</v>
      </c>
      <c r="O214" s="190" t="n">
        <f aca="false">Theory_Rev!O91</f>
        <v>314.529969229019</v>
      </c>
      <c r="P214" s="190" t="n">
        <f aca="false">Theory_Rev!P91</f>
        <v>314.529969229019</v>
      </c>
      <c r="Q214" s="190" t="n">
        <f aca="false">Theory_Rev!Q91</f>
        <v>314.529969229019</v>
      </c>
      <c r="R21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4" s="53" t="str">
        <f aca="false">IF(R214="—","—",IF(R214="A","基準輸入",IF(R214="B","情境、相對比較、反轉門檻","探索")))</f>
        <v>情境、相對比較、反轉門檻</v>
      </c>
      <c r="T214" s="54" t="s">
        <v>2175</v>
      </c>
      <c r="U214" s="53" t="str">
        <f aca="false">IF(V214=0,"—",LEFT(TEXT(V214,"0"),4)&amp;"-"&amp;MID(TEXT(V214,"0"),5,2)&amp;"-"&amp;RIGHT(TEXT(V214,"0"),2))</f>
        <v>2026-10-05</v>
      </c>
      <c r="V21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4" s="66" t="s">
        <v>2176</v>
      </c>
      <c r="X214" s="104" t="n">
        <f aca="false">IF(ISNUMBER(FIND("上限",S214)),1,0)</f>
        <v>0</v>
      </c>
      <c r="Y214" s="104" t="n">
        <v>0</v>
      </c>
    </row>
    <row r="215" customFormat="false" ht="15" hidden="false" customHeight="true" outlineLevel="0" collapsed="false">
      <c r="A215" s="35" t="s">
        <v>2178</v>
      </c>
      <c r="B215" s="36" t="s">
        <v>1371</v>
      </c>
      <c r="C215" s="190" t="n">
        <f aca="false">Theory_Rev!C92</f>
        <v>18.6899868774826</v>
      </c>
      <c r="D215" s="190" t="n">
        <f aca="false">Theory_Rev!D92</f>
        <v>18.6899868774826</v>
      </c>
      <c r="E215" s="190" t="n">
        <f aca="false">Theory_Rev!E92</f>
        <v>18.6899868774826</v>
      </c>
      <c r="F215" s="190" t="n">
        <f aca="false">Theory_Rev!F92</f>
        <v>96.6283848132214</v>
      </c>
      <c r="G215" s="190" t="n">
        <f aca="false">Theory_Rev!G92</f>
        <v>96.6283848132214</v>
      </c>
      <c r="H215" s="190" t="n">
        <f aca="false">Theory_Rev!H92</f>
        <v>96.6283848132214</v>
      </c>
      <c r="I215" s="190" t="n">
        <f aca="false">Theory_Rev!I92</f>
        <v>116.841337205439</v>
      </c>
      <c r="J215" s="190" t="n">
        <f aca="false">Theory_Rev!J92</f>
        <v>116.841337205439</v>
      </c>
      <c r="K215" s="190" t="n">
        <f aca="false">Theory_Rev!K92</f>
        <v>116.841337205439</v>
      </c>
      <c r="L215" s="190" t="n">
        <f aca="false">Theory_Rev!L92</f>
        <v>246.697456312585</v>
      </c>
      <c r="M215" s="190" t="n">
        <f aca="false">Theory_Rev!M92</f>
        <v>246.697456312585</v>
      </c>
      <c r="N215" s="190" t="n">
        <f aca="false">Theory_Rev!N92</f>
        <v>246.697456312585</v>
      </c>
      <c r="O215" s="190" t="n">
        <f aca="false">Theory_Rev!O92</f>
        <v>358.71180915499</v>
      </c>
      <c r="P215" s="190" t="n">
        <f aca="false">Theory_Rev!P92</f>
        <v>358.71180915499</v>
      </c>
      <c r="Q215" s="190" t="n">
        <f aca="false">Theory_Rev!Q92</f>
        <v>358.71180915499</v>
      </c>
      <c r="R215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15" s="53" t="str">
        <f aca="false">IF(R215="—","—",IF(R215="A","基準輸入",IF(R215="B","情境、相對比較、反轉門檻","探索")))</f>
        <v>情境、相對比較、反轉門檻</v>
      </c>
      <c r="T215" s="54" t="s">
        <v>2175</v>
      </c>
      <c r="U215" s="53" t="str">
        <f aca="false">IF(V215=0,"—",LEFT(TEXT(V215,"0"),4)&amp;"-"&amp;MID(TEXT(V215,"0"),5,2)&amp;"-"&amp;RIGHT(TEXT(V215,"0"),2))</f>
        <v>2026-10-05</v>
      </c>
      <c r="V215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15" s="66" t="s">
        <v>2176</v>
      </c>
      <c r="X215" s="104" t="n">
        <f aca="false">IF(ISNUMBER(FIND("上限",S215)),1,0)</f>
        <v>0</v>
      </c>
      <c r="Y215" s="104" t="n">
        <v>0</v>
      </c>
    </row>
    <row r="216" customFormat="false" ht="15" hidden="false" customHeight="true" outlineLevel="0" collapsed="false">
      <c r="A216" s="35" t="s">
        <v>2179</v>
      </c>
      <c r="B216" s="36" t="s">
        <v>1371</v>
      </c>
      <c r="C216" s="190" t="n">
        <f aca="false">Theory_Rev!C93</f>
        <v>4.00488774987164</v>
      </c>
      <c r="D216" s="190" t="n">
        <f aca="false">Theory_Rev!D93</f>
        <v>4.00488774987164</v>
      </c>
      <c r="E216" s="190" t="n">
        <f aca="false">Theory_Rev!E93</f>
        <v>4.00488774987164</v>
      </c>
      <c r="F216" s="190" t="n">
        <f aca="false">Theory_Rev!F93</f>
        <v>20.1746158611128</v>
      </c>
      <c r="G216" s="190" t="n">
        <f aca="false">Theory_Rev!G93</f>
        <v>20.1746158611128</v>
      </c>
      <c r="H216" s="190" t="n">
        <f aca="false">Theory_Rev!H93</f>
        <v>20.1746158611128</v>
      </c>
      <c r="I216" s="190" t="n">
        <f aca="false">Theory_Rev!I93</f>
        <v>26.2652356996766</v>
      </c>
      <c r="J216" s="190" t="n">
        <f aca="false">Theory_Rev!J93</f>
        <v>26.2652356996766</v>
      </c>
      <c r="K216" s="190" t="n">
        <f aca="false">Theory_Rev!K93</f>
        <v>26.2652356996766</v>
      </c>
      <c r="L216" s="190" t="n">
        <f aca="false">Theory_Rev!L93</f>
        <v>48.7237019639935</v>
      </c>
      <c r="M216" s="190" t="n">
        <f aca="false">Theory_Rev!M93</f>
        <v>48.7237019639935</v>
      </c>
      <c r="N216" s="190" t="n">
        <f aca="false">Theory_Rev!N93</f>
        <v>48.7237019639935</v>
      </c>
      <c r="O216" s="190" t="n">
        <f aca="false">Theory_Rev!O93</f>
        <v>68.9276257152094</v>
      </c>
      <c r="P216" s="190" t="n">
        <f aca="false">Theory_Rev!P93</f>
        <v>68.9276257152094</v>
      </c>
      <c r="Q216" s="190" t="n">
        <f aca="false">Theory_Rev!Q93</f>
        <v>68.9276257152094</v>
      </c>
      <c r="R216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16" s="53" t="str">
        <f aca="false">IF(R216="—","—",IF(R216="A","基準輸入",IF(R216="B","情境、相對比較、反轉門檻","探索")))</f>
        <v>情境、相對比較、反轉門檻</v>
      </c>
      <c r="T216" s="54" t="s">
        <v>2175</v>
      </c>
      <c r="U216" s="53" t="str">
        <f aca="false">IF(V216=0,"—",LEFT(TEXT(V216,"0"),4)&amp;"-"&amp;MID(TEXT(V216,"0"),5,2)&amp;"-"&amp;RIGHT(TEXT(V216,"0"),2))</f>
        <v>2026-10-05</v>
      </c>
      <c r="V216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16" s="66" t="s">
        <v>2180</v>
      </c>
      <c r="X216" s="104" t="n">
        <f aca="false">IF(ISNUMBER(FIND("上限",S216)),1,0)</f>
        <v>0</v>
      </c>
      <c r="Y216" s="104" t="n">
        <v>0</v>
      </c>
    </row>
    <row r="218" customFormat="false" ht="15" hidden="false" customHeight="true" outlineLevel="0" collapsed="false">
      <c r="A218" s="34" t="s">
        <v>2181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36" t="s">
        <v>2182</v>
      </c>
      <c r="B219" s="35" t="s">
        <v>114</v>
      </c>
      <c r="C219" s="183" t="n">
        <f aca="false">DC_Cost!C38</f>
        <v>6</v>
      </c>
      <c r="D219" s="183" t="n">
        <f aca="false">DC_Cost!D38</f>
        <v>6</v>
      </c>
      <c r="E219" s="183" t="n">
        <f aca="false">DC_Cost!E38</f>
        <v>4</v>
      </c>
      <c r="F219" s="183" t="n">
        <f aca="false">DC_Cost!F38</f>
        <v>6</v>
      </c>
      <c r="G219" s="183" t="n">
        <f aca="false">DC_Cost!G38</f>
        <v>6</v>
      </c>
      <c r="H219" s="183" t="n">
        <f aca="false">DC_Cost!H38</f>
        <v>4</v>
      </c>
      <c r="I219" s="183" t="n">
        <f aca="false">DC_Cost!I38</f>
        <v>6</v>
      </c>
      <c r="J219" s="183" t="n">
        <f aca="false">DC_Cost!J38</f>
        <v>6</v>
      </c>
      <c r="K219" s="183" t="n">
        <f aca="false">DC_Cost!K38</f>
        <v>4</v>
      </c>
      <c r="L219" s="183" t="n">
        <f aca="false">DC_Cost!L38</f>
        <v>6</v>
      </c>
      <c r="M219" s="183" t="n">
        <f aca="false">DC_Cost!M38</f>
        <v>6</v>
      </c>
      <c r="N219" s="183" t="n">
        <f aca="false">DC_Cost!N38</f>
        <v>4</v>
      </c>
      <c r="O219" s="183" t="n">
        <f aca="false">DC_Cost!O38</f>
        <v>6</v>
      </c>
      <c r="P219" s="183" t="n">
        <f aca="false">DC_Cost!P38</f>
        <v>6</v>
      </c>
      <c r="Q219" s="183" t="n">
        <f aca="false">DC_Cost!Q38</f>
        <v>4</v>
      </c>
      <c r="R219" s="85" t="str">
        <f aca="false">IF(SUM(Gov_Map!$AG$62:$AG$64)&gt;0,"C",IF(SUM(Gov_Map!$AH$62:$AH$64)&gt;0,"B","A"))</f>
        <v>B</v>
      </c>
      <c r="S219" s="53" t="str">
        <f aca="false">IF(R219="—","—",IF(R219="A","基準輸入",IF(R219="B","情境、相對比較、反轉門檻","探索")))</f>
        <v>情境、相對比較、反轉門檻</v>
      </c>
      <c r="T219" s="54" t="s">
        <v>587</v>
      </c>
      <c r="U219" s="53" t="str">
        <f aca="false">IF(V219=0,"—",LEFT(TEXT(V219,"0"),4)&amp;"-"&amp;MID(TEXT(V219,"0"),5,2)&amp;"-"&amp;RIGHT(TEXT(V219,"0"),2))</f>
        <v>—</v>
      </c>
      <c r="V219" s="82" t="n">
        <f aca="false">MAX(Gov_Map!$AJ$62:$AJ$64)</f>
        <v>0</v>
      </c>
      <c r="W219" s="66" t="s">
        <v>2183</v>
      </c>
      <c r="X219" s="104" t="n">
        <f aca="false">IF(ISNUMBER(FIND("上限",S219)),1,0)</f>
        <v>0</v>
      </c>
      <c r="Y219" s="104" t="n">
        <v>0</v>
      </c>
    </row>
    <row r="220" customFormat="false" ht="15" hidden="false" customHeight="true" outlineLevel="0" collapsed="false">
      <c r="A220" s="35" t="s">
        <v>2184</v>
      </c>
      <c r="B220" s="36" t="s">
        <v>1371</v>
      </c>
      <c r="C220" s="38" t="n">
        <f aca="false">(DC_Cost!C39)/CTL_GW</f>
        <v>3.5700449</v>
      </c>
      <c r="D220" s="38" t="n">
        <f aca="false">(DC_Cost!D39)/CTL_GW</f>
        <v>4.58503566666667</v>
      </c>
      <c r="E220" s="38" t="n">
        <f aca="false">(DC_Cost!E39)/CTL_GW</f>
        <v>8.53018585</v>
      </c>
      <c r="F220" s="38" t="n">
        <f aca="false">(DC_Cost!F39)/CTL_GW</f>
        <v>3.4398984</v>
      </c>
      <c r="G220" s="38" t="n">
        <f aca="false">(DC_Cost!G39)/CTL_GW</f>
        <v>4.002529</v>
      </c>
      <c r="H220" s="38" t="n">
        <f aca="false">(DC_Cost!H39)/CTL_GW</f>
        <v>6.9125511</v>
      </c>
      <c r="I220" s="38" t="n">
        <f aca="false">(DC_Cost!I39)/CTL_GW</f>
        <v>4.7591504</v>
      </c>
      <c r="J220" s="38" t="n">
        <f aca="false">(DC_Cost!J39)/CTL_GW</f>
        <v>6.24091733333333</v>
      </c>
      <c r="K220" s="38" t="n">
        <f aca="false">(DC_Cost!K39)/CTL_GW</f>
        <v>12.7376266</v>
      </c>
      <c r="L220" s="38" t="n">
        <f aca="false">(DC_Cost!L39)/CTL_GW</f>
        <v>5.5455672</v>
      </c>
      <c r="M220" s="38" t="n">
        <f aca="false">(DC_Cost!M39)/CTL_GW</f>
        <v>6.264392</v>
      </c>
      <c r="N220" s="38" t="n">
        <f aca="false">(DC_Cost!N39)/CTL_GW</f>
        <v>10.6593938</v>
      </c>
      <c r="O220" s="38" t="n">
        <f aca="false">(DC_Cost!O39)/CTL_GW</f>
        <v>5.974263</v>
      </c>
      <c r="P220" s="38" t="n">
        <f aca="false">(DC_Cost!P39)/CTL_GW</f>
        <v>8.34763</v>
      </c>
      <c r="Q220" s="38" t="n">
        <f aca="false">(DC_Cost!Q39)/CTL_GW</f>
        <v>16.3703895</v>
      </c>
      <c r="R220" s="85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53" t="str">
        <f aca="false">IF(R220="—","—",IF(R220="A","基準輸入",IF(R220="B","情境、相對比較、反轉門檻","探索")))</f>
        <v>情境、相對比較、反轉門檻</v>
      </c>
      <c r="T220" s="54" t="s">
        <v>587</v>
      </c>
      <c r="U220" s="53" t="str">
        <f aca="false">IF(V220=0,"—",LEFT(TEXT(V220,"0"),4)&amp;"-"&amp;MID(TEXT(V220,"0"),5,2)&amp;"-"&amp;RIGHT(TEXT(V220,"0"),2))</f>
        <v>2026-10-05</v>
      </c>
      <c r="V220" s="82" t="n">
        <f aca="false">MAX(Gov_Map!$AJ$5:$AJ$7,Gov_Map!$AJ$17:$AJ$22,Gov_Map!$AJ$62:$AJ$64,Gov_Map!$AJ$69:$AJ$103)</f>
        <v>20261005</v>
      </c>
      <c r="W220" s="66" t="s">
        <v>2185</v>
      </c>
      <c r="X220" s="104" t="n">
        <f aca="false">IF(ISNUMBER(FIND("上限",S220)),1,0)</f>
        <v>0</v>
      </c>
      <c r="Y220" s="104" t="n">
        <v>0</v>
      </c>
    </row>
    <row r="221" customFormat="false" ht="15" hidden="false" customHeight="true" outlineLevel="0" collapsed="false">
      <c r="A221" s="35" t="s">
        <v>2186</v>
      </c>
      <c r="B221" s="36" t="s">
        <v>1371</v>
      </c>
      <c r="C221" s="38" t="n">
        <f aca="false">(DC_Cost!C40)/CTL_GW</f>
        <v>0.507733333333333</v>
      </c>
      <c r="D221" s="38" t="n">
        <f aca="false">(DC_Cost!D40)/CTL_GW</f>
        <v>0.634416666666667</v>
      </c>
      <c r="E221" s="38" t="n">
        <f aca="false">(DC_Cost!E40)/CTL_GW</f>
        <v>0.812233333333334</v>
      </c>
      <c r="F221" s="38" t="n">
        <f aca="false">(DC_Cost!F40)/CTL_GW</f>
        <v>0.507733333333333</v>
      </c>
      <c r="G221" s="38" t="n">
        <f aca="false">(DC_Cost!G40)/CTL_GW</f>
        <v>0.634416666666667</v>
      </c>
      <c r="H221" s="38" t="n">
        <f aca="false">(DC_Cost!H40)/CTL_GW</f>
        <v>0.812233333333334</v>
      </c>
      <c r="I221" s="38" t="n">
        <f aca="false">(DC_Cost!I40)/CTL_GW</f>
        <v>0.507733333333333</v>
      </c>
      <c r="J221" s="38" t="n">
        <f aca="false">(DC_Cost!J40)/CTL_GW</f>
        <v>0.634416666666667</v>
      </c>
      <c r="K221" s="38" t="n">
        <f aca="false">(DC_Cost!K40)/CTL_GW</f>
        <v>0.812233333333334</v>
      </c>
      <c r="L221" s="38" t="n">
        <f aca="false">(DC_Cost!L40)/CTL_GW</f>
        <v>0.507733333333333</v>
      </c>
      <c r="M221" s="38" t="n">
        <f aca="false">(DC_Cost!M40)/CTL_GW</f>
        <v>0.634416666666667</v>
      </c>
      <c r="N221" s="38" t="n">
        <f aca="false">(DC_Cost!N40)/CTL_GW</f>
        <v>0.812233333333334</v>
      </c>
      <c r="O221" s="38" t="n">
        <f aca="false">(DC_Cost!O40)/CTL_GW</f>
        <v>0.507733333333333</v>
      </c>
      <c r="P221" s="38" t="n">
        <f aca="false">(DC_Cost!P40)/CTL_GW</f>
        <v>0.634416666666667</v>
      </c>
      <c r="Q221" s="38" t="n">
        <f aca="false">(DC_Cost!Q40)/CTL_GW</f>
        <v>0.812233333333334</v>
      </c>
      <c r="R221" s="85" t="str">
        <f aca="false">IF(SUM(Gov_Map!$AG$5,Gov_Map!$AG$26:$AG$40,Gov_Map!$AG$65:$AG$68)&gt;0,"C",IF(SUM(Gov_Map!$AH$5,Gov_Map!$AH$26:$AH$40,Gov_Map!$AH$65:$AH$68)&gt;0,"B","A"))</f>
        <v>A</v>
      </c>
      <c r="S221" s="53" t="str">
        <f aca="false">IF(R221="—","—",IF(R221="A","基準輸入",IF(R221="B","情境、相對比較、反轉門檻","探索")))</f>
        <v>基準輸入</v>
      </c>
      <c r="T221" s="54" t="s">
        <v>587</v>
      </c>
      <c r="U221" s="53" t="str">
        <f aca="false">IF(V221=0,"—",LEFT(TEXT(V221,"0"),4)&amp;"-"&amp;MID(TEXT(V221,"0"),5,2)&amp;"-"&amp;RIGHT(TEXT(V221,"0"),2))</f>
        <v>—</v>
      </c>
      <c r="V221" s="82" t="n">
        <f aca="false">MAX(Gov_Map!$AJ$5,Gov_Map!$AJ$26:$AJ$40,Gov_Map!$AJ$65:$AJ$68)</f>
        <v>0</v>
      </c>
      <c r="W221" s="66" t="s">
        <v>2187</v>
      </c>
      <c r="X221" s="104" t="n">
        <f aca="false">IF(ISNUMBER(FIND("上限",S221)),1,0)</f>
        <v>0</v>
      </c>
      <c r="Y221" s="104" t="n">
        <v>0</v>
      </c>
    </row>
    <row r="222" customFormat="false" ht="15" hidden="false" customHeight="true" outlineLevel="0" collapsed="false">
      <c r="A222" s="35" t="s">
        <v>2188</v>
      </c>
      <c r="B222" s="36" t="s">
        <v>79</v>
      </c>
      <c r="C222" s="179" t="n">
        <f aca="false">DC_Cost!C41</f>
        <v>0.7</v>
      </c>
      <c r="D222" s="179" t="n">
        <f aca="false">DC_Cost!D41</f>
        <v>0.8</v>
      </c>
      <c r="E222" s="179" t="n">
        <f aca="false">DC_Cost!E41</f>
        <v>0.9</v>
      </c>
      <c r="F222" s="179" t="n">
        <f aca="false">DC_Cost!F41</f>
        <v>0.7</v>
      </c>
      <c r="G222" s="179" t="n">
        <f aca="false">DC_Cost!G41</f>
        <v>0.8</v>
      </c>
      <c r="H222" s="179" t="n">
        <f aca="false">DC_Cost!H41</f>
        <v>0.9</v>
      </c>
      <c r="I222" s="179" t="n">
        <f aca="false">DC_Cost!I41</f>
        <v>0.7</v>
      </c>
      <c r="J222" s="179" t="n">
        <f aca="false">DC_Cost!J41</f>
        <v>0.8</v>
      </c>
      <c r="K222" s="179" t="n">
        <f aca="false">DC_Cost!K41</f>
        <v>0.9</v>
      </c>
      <c r="L222" s="179" t="n">
        <f aca="false">DC_Cost!L41</f>
        <v>0.7</v>
      </c>
      <c r="M222" s="179" t="n">
        <f aca="false">DC_Cost!M41</f>
        <v>0.8</v>
      </c>
      <c r="N222" s="179" t="n">
        <f aca="false">DC_Cost!N41</f>
        <v>0.9</v>
      </c>
      <c r="O222" s="179" t="n">
        <f aca="false">DC_Cost!O41</f>
        <v>0.7</v>
      </c>
      <c r="P222" s="179" t="n">
        <f aca="false">DC_Cost!P41</f>
        <v>0.8</v>
      </c>
      <c r="Q222" s="179" t="n">
        <f aca="false">DC_Cost!Q41</f>
        <v>0.9</v>
      </c>
      <c r="R222" s="85" t="str">
        <f aca="false">IF(SUM(Gov_Map!$AG$11:$AG$13)&gt;0,"C",IF(SUM(Gov_Map!$AH$11:$AH$13)&gt;0,"B","A"))</f>
        <v>A</v>
      </c>
      <c r="S222" s="53" t="str">
        <f aca="false">IF(R222="—","—",IF(R222="A","基準輸入",IF(R222="B","情境、相對比較、反轉門檻","探索")))</f>
        <v>基準輸入</v>
      </c>
      <c r="T222" s="54" t="s">
        <v>587</v>
      </c>
      <c r="U222" s="53" t="str">
        <f aca="false">IF(V222=0,"—",LEFT(TEXT(V222,"0"),4)&amp;"-"&amp;MID(TEXT(V222,"0"),5,2)&amp;"-"&amp;RIGHT(TEXT(V222,"0"),2))</f>
        <v>—</v>
      </c>
      <c r="V222" s="82" t="n">
        <f aca="false">MAX(Gov_Map!$AJ$11:$AJ$13)</f>
        <v>0</v>
      </c>
      <c r="W222" s="66" t="s">
        <v>2189</v>
      </c>
      <c r="X222" s="104" t="n">
        <f aca="false">IF(ISNUMBER(FIND("上限",S222)),1,0)</f>
        <v>0</v>
      </c>
      <c r="Y222" s="104" t="n">
        <v>0</v>
      </c>
    </row>
    <row r="223" customFormat="false" ht="15" hidden="false" customHeight="true" outlineLevel="0" collapsed="false">
      <c r="A223" s="35" t="s">
        <v>2190</v>
      </c>
      <c r="B223" s="36" t="s">
        <v>89</v>
      </c>
      <c r="C223" s="200" t="n">
        <f aca="false">DC_Cost!C42</f>
        <v>0.06</v>
      </c>
      <c r="D223" s="200" t="n">
        <f aca="false">DC_Cost!D42</f>
        <v>0.08</v>
      </c>
      <c r="E223" s="200" t="n">
        <f aca="false">DC_Cost!E42</f>
        <v>0.1</v>
      </c>
      <c r="F223" s="200" t="n">
        <f aca="false">DC_Cost!F42</f>
        <v>0.06</v>
      </c>
      <c r="G223" s="200" t="n">
        <f aca="false">DC_Cost!G42</f>
        <v>0.08</v>
      </c>
      <c r="H223" s="200" t="n">
        <f aca="false">DC_Cost!H42</f>
        <v>0.1</v>
      </c>
      <c r="I223" s="200" t="n">
        <f aca="false">DC_Cost!I42</f>
        <v>0.06</v>
      </c>
      <c r="J223" s="200" t="n">
        <f aca="false">DC_Cost!J42</f>
        <v>0.08</v>
      </c>
      <c r="K223" s="200" t="n">
        <f aca="false">DC_Cost!K42</f>
        <v>0.1</v>
      </c>
      <c r="L223" s="200" t="n">
        <f aca="false">DC_Cost!L42</f>
        <v>0.06</v>
      </c>
      <c r="M223" s="200" t="n">
        <f aca="false">DC_Cost!M42</f>
        <v>0.08</v>
      </c>
      <c r="N223" s="200" t="n">
        <f aca="false">DC_Cost!N42</f>
        <v>0.1</v>
      </c>
      <c r="O223" s="200" t="n">
        <f aca="false">DC_Cost!O42</f>
        <v>0.06</v>
      </c>
      <c r="P223" s="200" t="n">
        <f aca="false">DC_Cost!P42</f>
        <v>0.08</v>
      </c>
      <c r="Q223" s="200" t="n">
        <f aca="false">DC_Cost!Q42</f>
        <v>0.1</v>
      </c>
      <c r="R223" s="85" t="str">
        <f aca="false">IF(SUM(Gov_Map!$AG$14:$AG$16)&gt;0,"C",IF(SUM(Gov_Map!$AH$14:$AH$16)&gt;0,"B","A"))</f>
        <v>A</v>
      </c>
      <c r="S223" s="53" t="str">
        <f aca="false">IF(R223="—","—",IF(R223="A","基準輸入",IF(R223="B","情境、相對比較、反轉門檻","探索")))</f>
        <v>基準輸入</v>
      </c>
      <c r="T223" s="54" t="s">
        <v>587</v>
      </c>
      <c r="U223" s="53" t="str">
        <f aca="false">IF(V223=0,"—",LEFT(TEXT(V223,"0"),4)&amp;"-"&amp;MID(TEXT(V223,"0"),5,2)&amp;"-"&amp;RIGHT(TEXT(V223,"0"),2))</f>
        <v>—</v>
      </c>
      <c r="V223" s="82" t="n">
        <f aca="false">MAX(Gov_Map!$AJ$14:$AJ$16)</f>
        <v>0</v>
      </c>
      <c r="W223" s="66" t="s">
        <v>2189</v>
      </c>
      <c r="X223" s="104" t="n">
        <f aca="false">IF(ISNUMBER(FIND("上限",S223)),1,0)</f>
        <v>0</v>
      </c>
      <c r="Y223" s="104" t="n">
        <v>0</v>
      </c>
    </row>
    <row r="224" customFormat="false" ht="15" hidden="false" customHeight="true" outlineLevel="0" collapsed="false">
      <c r="A224" s="35" t="s">
        <v>2191</v>
      </c>
      <c r="B224" s="36" t="s">
        <v>1371</v>
      </c>
      <c r="C224" s="38" t="n">
        <f aca="false">(DC_Cost!C44)/CTL_GW</f>
        <v>0.428405388</v>
      </c>
      <c r="D224" s="38" t="n">
        <f aca="false">(DC_Cost!D44)/CTL_GW</f>
        <v>0.82530642</v>
      </c>
      <c r="E224" s="38" t="n">
        <f aca="false">(DC_Cost!E44)/CTL_GW</f>
        <v>1.364829736</v>
      </c>
      <c r="F224" s="38" t="n">
        <f aca="false">(DC_Cost!F44)/CTL_GW</f>
        <v>0.412787808</v>
      </c>
      <c r="G224" s="38" t="n">
        <f aca="false">(DC_Cost!G44)/CTL_GW</f>
        <v>0.72045522</v>
      </c>
      <c r="H224" s="38" t="n">
        <f aca="false">(DC_Cost!H44)/CTL_GW</f>
        <v>1.106008176</v>
      </c>
      <c r="I224" s="38" t="n">
        <f aca="false">(DC_Cost!I44)/CTL_GW</f>
        <v>0.571098048</v>
      </c>
      <c r="J224" s="38" t="n">
        <f aca="false">(DC_Cost!J44)/CTL_GW</f>
        <v>1.12336512</v>
      </c>
      <c r="K224" s="38" t="n">
        <f aca="false">(DC_Cost!K44)/CTL_GW</f>
        <v>2.038020256</v>
      </c>
      <c r="L224" s="38" t="n">
        <f aca="false">(DC_Cost!L44)/CTL_GW</f>
        <v>0.665468064</v>
      </c>
      <c r="M224" s="38" t="n">
        <f aca="false">(DC_Cost!M44)/CTL_GW</f>
        <v>1.12759056</v>
      </c>
      <c r="N224" s="38" t="n">
        <f aca="false">(DC_Cost!N44)/CTL_GW</f>
        <v>1.705503008</v>
      </c>
      <c r="O224" s="38" t="n">
        <f aca="false">(DC_Cost!O44)/CTL_GW</f>
        <v>0.71691156</v>
      </c>
      <c r="P224" s="38" t="n">
        <f aca="false">(DC_Cost!P44)/CTL_GW</f>
        <v>1.5025734</v>
      </c>
      <c r="Q224" s="38" t="n">
        <f aca="false">(DC_Cost!Q44)/CTL_GW</f>
        <v>2.61926232</v>
      </c>
      <c r="R224" s="85" t="str">
        <f aca="false">IF(SUM(Gov_Map!$AG$5:$AG$7,Gov_Map!$AG$17:$AG$22,Gov_Map!$AG$44:$AG$46,Gov_Map!$AG$69:$AG$103)&gt;0,"C",IF(SUM(Gov_Map!$AH$5:$AH$7,Gov_Map!$AH$17:$AH$22,Gov_Map!$AH$44:$AH$46,Gov_Map!$AH$69:$AH$103)&gt;0,"B","A"))</f>
        <v>B</v>
      </c>
      <c r="S224" s="53" t="str">
        <f aca="false">IF(R224="—","—",IF(R224="A","基準輸入",IF(R224="B","情境、相對比較、反轉門檻","探索")))</f>
        <v>情境、相對比較、反轉門檻</v>
      </c>
      <c r="T224" s="54" t="s">
        <v>587</v>
      </c>
      <c r="U224" s="53" t="str">
        <f aca="false">IF(V224=0,"—",LEFT(TEXT(V224,"0"),4)&amp;"-"&amp;MID(TEXT(V224,"0"),5,2)&amp;"-"&amp;RIGHT(TEXT(V224,"0"),2))</f>
        <v>2026-10-05</v>
      </c>
      <c r="V224" s="82" t="n">
        <f aca="false">MAX(Gov_Map!$AJ$5:$AJ$7,Gov_Map!$AJ$17:$AJ$22,Gov_Map!$AJ$44:$AJ$46,Gov_Map!$AJ$69:$AJ$103)</f>
        <v>20261005</v>
      </c>
      <c r="W224" s="66" t="s">
        <v>2192</v>
      </c>
      <c r="X224" s="104" t="n">
        <f aca="false">IF(ISNUMBER(FIND("上限",S224)),1,0)</f>
        <v>0</v>
      </c>
      <c r="Y224" s="104" t="n">
        <v>0</v>
      </c>
    </row>
    <row r="225" customFormat="false" ht="15" hidden="false" customHeight="true" outlineLevel="0" collapsed="false">
      <c r="A225" s="35" t="s">
        <v>2193</v>
      </c>
      <c r="B225" s="36" t="s">
        <v>1371</v>
      </c>
      <c r="C225" s="38" t="n">
        <f aca="false">(DC_Cost!C45)/CTL_GW</f>
        <v>0.15318</v>
      </c>
      <c r="D225" s="38" t="n">
        <f aca="false">(DC_Cost!D45)/CTL_GW</f>
        <v>0.2534</v>
      </c>
      <c r="E225" s="38" t="n">
        <f aca="false">(DC_Cost!E45)/CTL_GW</f>
        <v>0.40465</v>
      </c>
      <c r="F225" s="38" t="n">
        <f aca="false">(DC_Cost!F45)/CTL_GW</f>
        <v>0.15318</v>
      </c>
      <c r="G225" s="38" t="n">
        <f aca="false">(DC_Cost!G45)/CTL_GW</f>
        <v>0.2534</v>
      </c>
      <c r="H225" s="38" t="n">
        <f aca="false">(DC_Cost!H45)/CTL_GW</f>
        <v>0.40465</v>
      </c>
      <c r="I225" s="38" t="n">
        <f aca="false">(DC_Cost!I45)/CTL_GW</f>
        <v>0.15318</v>
      </c>
      <c r="J225" s="38" t="n">
        <f aca="false">(DC_Cost!J45)/CTL_GW</f>
        <v>0.2534</v>
      </c>
      <c r="K225" s="38" t="n">
        <f aca="false">(DC_Cost!K45)/CTL_GW</f>
        <v>0.40465</v>
      </c>
      <c r="L225" s="38" t="n">
        <f aca="false">(DC_Cost!L45)/CTL_GW</f>
        <v>0.15318</v>
      </c>
      <c r="M225" s="38" t="n">
        <f aca="false">(DC_Cost!M45)/CTL_GW</f>
        <v>0.2534</v>
      </c>
      <c r="N225" s="38" t="n">
        <f aca="false">(DC_Cost!N45)/CTL_GW</f>
        <v>0.40465</v>
      </c>
      <c r="O225" s="38" t="n">
        <f aca="false">(DC_Cost!O45)/CTL_GW</f>
        <v>0.15318</v>
      </c>
      <c r="P225" s="38" t="n">
        <f aca="false">(DC_Cost!P45)/CTL_GW</f>
        <v>0.2534</v>
      </c>
      <c r="Q225" s="38" t="n">
        <f aca="false">(DC_Cost!Q45)/CTL_GW</f>
        <v>0.40465</v>
      </c>
      <c r="R225" s="85" t="str">
        <f aca="false">IF(SUM(Gov_Map!$AG$5,Gov_Map!$AG$23:$AG$40,Gov_Map!$AG$47:$AG$49)&gt;0,"C",IF(SUM(Gov_Map!$AH$5,Gov_Map!$AH$23:$AH$40,Gov_Map!$AH$47:$AH$49)&gt;0,"B","A"))</f>
        <v>A</v>
      </c>
      <c r="S225" s="53" t="str">
        <f aca="false">IF(R225="—","—",IF(R225="A","基準輸入",IF(R225="B","情境、相對比較、反轉門檻","探索")))</f>
        <v>基準輸入</v>
      </c>
      <c r="T225" s="54" t="s">
        <v>587</v>
      </c>
      <c r="U225" s="53" t="str">
        <f aca="false">IF(V225=0,"—",LEFT(TEXT(V225,"0"),4)&amp;"-"&amp;MID(TEXT(V225,"0"),5,2)&amp;"-"&amp;RIGHT(TEXT(V225,"0"),2))</f>
        <v>—</v>
      </c>
      <c r="V225" s="82" t="n">
        <f aca="false">MAX(Gov_Map!$AJ$5,Gov_Map!$AJ$23:$AJ$40,Gov_Map!$AJ$47:$AJ$49)</f>
        <v>0</v>
      </c>
      <c r="W225" s="66" t="s">
        <v>2194</v>
      </c>
      <c r="X225" s="104" t="n">
        <f aca="false">IF(ISNUMBER(FIND("上限",S225)),1,0)</f>
        <v>0</v>
      </c>
      <c r="Y225" s="104" t="n">
        <v>0</v>
      </c>
    </row>
    <row r="226" customFormat="false" ht="15" hidden="false" customHeight="true" outlineLevel="0" collapsed="false">
      <c r="A226" s="35" t="s">
        <v>2195</v>
      </c>
      <c r="B226" s="36" t="s">
        <v>1371</v>
      </c>
      <c r="C226" s="38" t="n">
        <f aca="false">(DC_Cost!C46)/CTL_GW</f>
        <v>0.24</v>
      </c>
      <c r="D226" s="38" t="n">
        <f aca="false">(DC_Cost!D46)/CTL_GW</f>
        <v>0.325</v>
      </c>
      <c r="E226" s="38" t="n">
        <f aca="false">(DC_Cost!E46)/CTL_GW</f>
        <v>0.41</v>
      </c>
      <c r="F226" s="38" t="n">
        <f aca="false">(DC_Cost!F46)/CTL_GW</f>
        <v>0.24</v>
      </c>
      <c r="G226" s="38" t="n">
        <f aca="false">(DC_Cost!G46)/CTL_GW</f>
        <v>0.325</v>
      </c>
      <c r="H226" s="38" t="n">
        <f aca="false">(DC_Cost!H46)/CTL_GW</f>
        <v>0.41</v>
      </c>
      <c r="I226" s="38" t="n">
        <f aca="false">(DC_Cost!I46)/CTL_GW</f>
        <v>0.24</v>
      </c>
      <c r="J226" s="38" t="n">
        <f aca="false">(DC_Cost!J46)/CTL_GW</f>
        <v>0.325</v>
      </c>
      <c r="K226" s="38" t="n">
        <f aca="false">(DC_Cost!K46)/CTL_GW</f>
        <v>0.41</v>
      </c>
      <c r="L226" s="38" t="n">
        <f aca="false">(DC_Cost!L46)/CTL_GW</f>
        <v>0.24</v>
      </c>
      <c r="M226" s="38" t="n">
        <f aca="false">(DC_Cost!M46)/CTL_GW</f>
        <v>0.325</v>
      </c>
      <c r="N226" s="38" t="n">
        <f aca="false">(DC_Cost!N46)/CTL_GW</f>
        <v>0.41</v>
      </c>
      <c r="O226" s="38" t="n">
        <f aca="false">(DC_Cost!O46)/CTL_GW</f>
        <v>0.24</v>
      </c>
      <c r="P226" s="38" t="n">
        <f aca="false">(DC_Cost!P46)/CTL_GW</f>
        <v>0.325</v>
      </c>
      <c r="Q226" s="38" t="n">
        <f aca="false">(DC_Cost!Q46)/CTL_GW</f>
        <v>0.41</v>
      </c>
      <c r="R226" s="85" t="str">
        <f aca="false">IF(SUM(Gov_Map!$AG$5,Gov_Map!$AG$50:$AG$58)&gt;0,"C",IF(SUM(Gov_Map!$AH$5,Gov_Map!$AH$50:$AH$58)&gt;0,"B","A"))</f>
        <v>A</v>
      </c>
      <c r="S226" s="53" t="str">
        <f aca="false">IF(R226="—","—",IF(R226="A","基準輸入",IF(R226="B","情境、相對比較、反轉門檻","探索")))</f>
        <v>基準輸入</v>
      </c>
      <c r="T226" s="54" t="s">
        <v>587</v>
      </c>
      <c r="U226" s="53" t="str">
        <f aca="false">IF(V226=0,"—",LEFT(TEXT(V226,"0"),4)&amp;"-"&amp;MID(TEXT(V226,"0"),5,2)&amp;"-"&amp;RIGHT(TEXT(V226,"0"),2))</f>
        <v>—</v>
      </c>
      <c r="V226" s="82" t="n">
        <f aca="false">MAX(Gov_Map!$AJ$5,Gov_Map!$AJ$50:$AJ$58)</f>
        <v>0</v>
      </c>
      <c r="W226" s="66" t="s">
        <v>1948</v>
      </c>
      <c r="X226" s="104" t="n">
        <f aca="false">IF(ISNUMBER(FIND("上限",S226)),1,0)</f>
        <v>0</v>
      </c>
      <c r="Y226" s="104" t="n">
        <v>0</v>
      </c>
    </row>
    <row r="227" customFormat="false" ht="15" hidden="false" customHeight="true" outlineLevel="0" collapsed="false">
      <c r="A227" s="35" t="s">
        <v>2196</v>
      </c>
      <c r="B227" s="36" t="s">
        <v>1371</v>
      </c>
      <c r="C227" s="38" t="n">
        <f aca="false">(DC_Cost!C47)/CTL_GW</f>
        <v>0.0948968082</v>
      </c>
      <c r="D227" s="38" t="n">
        <f aca="false">(DC_Cost!D47)/CTL_GW</f>
        <v>0.20090107</v>
      </c>
      <c r="E227" s="38" t="n">
        <f aca="false">(DC_Cost!E47)/CTL_GW</f>
        <v>0.4024539472</v>
      </c>
      <c r="F227" s="38" t="n">
        <f aca="false">(DC_Cost!F47)/CTL_GW</f>
        <v>0.0925541712</v>
      </c>
      <c r="G227" s="38" t="n">
        <f aca="false">(DC_Cost!G47)/CTL_GW</f>
        <v>0.18342587</v>
      </c>
      <c r="H227" s="38" t="n">
        <f aca="false">(DC_Cost!H47)/CTL_GW</f>
        <v>0.3506896352</v>
      </c>
      <c r="I227" s="38" t="n">
        <f aca="false">(DC_Cost!I47)/CTL_GW</f>
        <v>0.1163007072</v>
      </c>
      <c r="J227" s="38" t="n">
        <f aca="false">(DC_Cost!J47)/CTL_GW</f>
        <v>0.25057752</v>
      </c>
      <c r="K227" s="38" t="n">
        <f aca="false">(DC_Cost!K47)/CTL_GW</f>
        <v>0.5370920512</v>
      </c>
      <c r="L227" s="38" t="n">
        <f aca="false">(DC_Cost!L47)/CTL_GW</f>
        <v>0.1304562096</v>
      </c>
      <c r="M227" s="38" t="n">
        <f aca="false">(DC_Cost!M47)/CTL_GW</f>
        <v>0.25128176</v>
      </c>
      <c r="N227" s="38" t="n">
        <f aca="false">(DC_Cost!N47)/CTL_GW</f>
        <v>0.4705886016</v>
      </c>
      <c r="O227" s="38" t="n">
        <f aca="false">(DC_Cost!O47)/CTL_GW</f>
        <v>0.138172734</v>
      </c>
      <c r="P227" s="38" t="n">
        <f aca="false">(DC_Cost!P47)/CTL_GW</f>
        <v>0.3137789</v>
      </c>
      <c r="Q227" s="38" t="n">
        <f aca="false">(DC_Cost!Q47)/CTL_GW</f>
        <v>0.653340464</v>
      </c>
      <c r="R227" s="85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53" t="str">
        <f aca="false">IF(R227="—","—",IF(R227="A","基準輸入",IF(R227="B","情境、相對比較、反轉門檻","探索")))</f>
        <v>情境、相對比較、反轉門檻</v>
      </c>
      <c r="T227" s="54" t="s">
        <v>587</v>
      </c>
      <c r="U227" s="53" t="str">
        <f aca="false">IF(V227=0,"—",LEFT(TEXT(V227,"0"),4)&amp;"-"&amp;MID(TEXT(V227,"0"),5,2)&amp;"-"&amp;RIGHT(TEXT(V227,"0"),2))</f>
        <v>2026-10-05</v>
      </c>
      <c r="V227" s="82" t="n">
        <f aca="false">MAX(Gov_Map!$AJ$5:$AJ$7,Gov_Map!$AJ$17:$AJ$40,Gov_Map!$AJ$59:$AJ$61,Gov_Map!$AJ$69:$AJ$103)</f>
        <v>20261005</v>
      </c>
      <c r="W227" s="66" t="s">
        <v>2197</v>
      </c>
      <c r="X227" s="104" t="n">
        <f aca="false">IF(ISNUMBER(FIND("上限",S227)),1,0)</f>
        <v>0</v>
      </c>
      <c r="Y227" s="104" t="n">
        <v>0</v>
      </c>
    </row>
    <row r="228" customFormat="false" ht="15" hidden="false" customHeight="true" outlineLevel="0" collapsed="false">
      <c r="A228" s="35" t="s">
        <v>2198</v>
      </c>
      <c r="B228" s="36" t="s">
        <v>1371</v>
      </c>
      <c r="C228" s="38" t="n">
        <f aca="false">(DC_Cost!C48)/CTL_GW</f>
        <v>1.3211941962</v>
      </c>
      <c r="D228" s="38" t="n">
        <f aca="false">(DC_Cost!D48)/CTL_GW</f>
        <v>2.27737549</v>
      </c>
      <c r="E228" s="38" t="n">
        <f aca="false">(DC_Cost!E48)/CTL_GW</f>
        <v>3.6068536832</v>
      </c>
      <c r="F228" s="38" t="n">
        <f aca="false">(DC_Cost!F48)/CTL_GW</f>
        <v>1.3032339792</v>
      </c>
      <c r="G228" s="38" t="n">
        <f aca="false">(DC_Cost!G48)/CTL_GW</f>
        <v>2.15504909</v>
      </c>
      <c r="H228" s="38" t="n">
        <f aca="false">(DC_Cost!H48)/CTL_GW</f>
        <v>3.2962678112</v>
      </c>
      <c r="I228" s="38" t="n">
        <f aca="false">(DC_Cost!I48)/CTL_GW</f>
        <v>1.4852907552</v>
      </c>
      <c r="J228" s="38" t="n">
        <f aca="false">(DC_Cost!J48)/CTL_GW</f>
        <v>2.62511064</v>
      </c>
      <c r="K228" s="38" t="n">
        <f aca="false">(DC_Cost!K48)/CTL_GW</f>
        <v>4.4146823072</v>
      </c>
      <c r="L228" s="38" t="n">
        <f aca="false">(DC_Cost!L48)/CTL_GW</f>
        <v>1.5938162736</v>
      </c>
      <c r="M228" s="38" t="n">
        <f aca="false">(DC_Cost!M48)/CTL_GW</f>
        <v>2.63004032</v>
      </c>
      <c r="N228" s="38" t="n">
        <f aca="false">(DC_Cost!N48)/CTL_GW</f>
        <v>4.0156616096</v>
      </c>
      <c r="O228" s="38" t="n">
        <f aca="false">(DC_Cost!O48)/CTL_GW</f>
        <v>1.652976294</v>
      </c>
      <c r="P228" s="38" t="n">
        <f aca="false">(DC_Cost!P48)/CTL_GW</f>
        <v>3.0675203</v>
      </c>
      <c r="Q228" s="38" t="n">
        <f aca="false">(DC_Cost!Q48)/CTL_GW</f>
        <v>5.112172784</v>
      </c>
      <c r="R228" s="85" t="str">
        <f aca="false">IF(SUM(Gov_Map!$AG$5:$AG$40,Gov_Map!$AG$44:$AG$61,Gov_Map!$AG$69:$AG$103)&gt;0,"C",IF(SUM(Gov_Map!$AH$5:$AH$40,Gov_Map!$AH$44:$AH$61,Gov_Map!$AH$69:$AH$103)&gt;0,"B","A"))</f>
        <v>B</v>
      </c>
      <c r="S228" s="53" t="str">
        <f aca="false">IF(R228="—","—",IF(R228="A","基準輸入",IF(R228="B","情境、相對比較、反轉門檻","探索")))</f>
        <v>情境、相對比較、反轉門檻</v>
      </c>
      <c r="T228" s="54" t="s">
        <v>587</v>
      </c>
      <c r="U228" s="53" t="str">
        <f aca="false">IF(V228=0,"—",LEFT(TEXT(V228,"0"),4)&amp;"-"&amp;MID(TEXT(V228,"0"),5,2)&amp;"-"&amp;RIGHT(TEXT(V228,"0"),2))</f>
        <v>2026-10-05</v>
      </c>
      <c r="V228" s="82" t="n">
        <f aca="false">MAX(Gov_Map!$AJ$5:$AJ$40,Gov_Map!$AJ$44:$AJ$61,Gov_Map!$AJ$69:$AJ$103)</f>
        <v>20261005</v>
      </c>
      <c r="W228" s="66" t="s">
        <v>2199</v>
      </c>
      <c r="X228" s="104" t="n">
        <f aca="false">IF(ISNUMBER(FIND("上限",S228)),1,0)</f>
        <v>0</v>
      </c>
      <c r="Y228" s="104" t="n">
        <v>0</v>
      </c>
    </row>
    <row r="229" customFormat="false" ht="15" hidden="false" customHeight="true" outlineLevel="0" collapsed="false">
      <c r="A229" s="35" t="s">
        <v>2200</v>
      </c>
      <c r="B229" s="36" t="s">
        <v>1371</v>
      </c>
      <c r="C229" s="201" t="n">
        <f aca="false">C220+C221+C228-C12</f>
        <v>0</v>
      </c>
      <c r="D229" s="201" t="n">
        <f aca="false">D220+D221+D228-D12</f>
        <v>0</v>
      </c>
      <c r="E229" s="201" t="n">
        <f aca="false">E220+E221+E228-E12</f>
        <v>0</v>
      </c>
      <c r="F229" s="201" t="n">
        <f aca="false">F220+F221+F228-F12</f>
        <v>0</v>
      </c>
      <c r="G229" s="201" t="n">
        <f aca="false">G220+G221+G228-G12</f>
        <v>0</v>
      </c>
      <c r="H229" s="201" t="n">
        <f aca="false">H220+H221+H228-H12</f>
        <v>0</v>
      </c>
      <c r="I229" s="201" t="n">
        <f aca="false">I220+I221+I228-I12</f>
        <v>0</v>
      </c>
      <c r="J229" s="201" t="n">
        <f aca="false">J220+J221+J228-J12</f>
        <v>0</v>
      </c>
      <c r="K229" s="201" t="n">
        <f aca="false">K220+K221+K228-K12</f>
        <v>0</v>
      </c>
      <c r="L229" s="201" t="n">
        <f aca="false">L220+L221+L228-L12</f>
        <v>0</v>
      </c>
      <c r="M229" s="201" t="n">
        <f aca="false">M220+M221+M228-M12</f>
        <v>0</v>
      </c>
      <c r="N229" s="201" t="n">
        <f aca="false">N220+N221+N228-N12</f>
        <v>0</v>
      </c>
      <c r="O229" s="201" t="n">
        <f aca="false">O220+O221+O228-O12</f>
        <v>0</v>
      </c>
      <c r="P229" s="201" t="n">
        <f aca="false">P220+P221+P228-P12</f>
        <v>0</v>
      </c>
      <c r="Q229" s="201" t="n">
        <f aca="false">Q220+Q221+Q228-Q12</f>
        <v>0</v>
      </c>
      <c r="R229" s="85" t="str">
        <f aca="false">IF(SUM(Gov_Map!$AG$5:$AG$40,Gov_Map!$AG$44:$AG$103)&gt;0,"C",IF(SUM(Gov_Map!$AH$5:$AH$40,Gov_Map!$AH$44:$AH$103)&gt;0,"B","A"))</f>
        <v>B</v>
      </c>
      <c r="S229" s="53" t="str">
        <f aca="false">IF(R229="—","—",IF(R229="A","基準輸入",IF(R229="B","情境、相對比較、反轉門檻","探索")))</f>
        <v>情境、相對比較、反轉門檻</v>
      </c>
      <c r="T229" s="54" t="s">
        <v>587</v>
      </c>
      <c r="U229" s="53" t="str">
        <f aca="false">IF(V229=0,"—",LEFT(TEXT(V229,"0"),4)&amp;"-"&amp;MID(TEXT(V229,"0"),5,2)&amp;"-"&amp;RIGHT(TEXT(V229,"0"),2))</f>
        <v>2026-10-05</v>
      </c>
      <c r="V229" s="82" t="n">
        <f aca="false">MAX(Gov_Map!$AJ$5:$AJ$40,Gov_Map!$AJ$44:$AJ$103)</f>
        <v>20261005</v>
      </c>
      <c r="W229" s="66" t="s">
        <v>1944</v>
      </c>
      <c r="X229" s="104" t="n">
        <f aca="false">IF(ISNUMBER(FIND("上限",S229)),1,0)</f>
        <v>0</v>
      </c>
      <c r="Y229" s="104" t="n">
        <v>0</v>
      </c>
    </row>
    <row r="231" customFormat="false" ht="15" hidden="false" customHeight="false" outlineLevel="0" collapsed="false">
      <c r="A231" s="68" t="s">
        <v>2201</v>
      </c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</row>
    <row r="232" customFormat="false" ht="15" hidden="false" customHeight="false" outlineLevel="0" collapsed="false">
      <c r="A232" s="10" t="s">
        <v>2202</v>
      </c>
    </row>
    <row r="233" customFormat="false" ht="15" hidden="false" customHeight="false" outlineLevel="0" collapsed="false">
      <c r="A233" s="53" t="s">
        <v>2203</v>
      </c>
      <c r="B233" s="54" t="s">
        <v>1371</v>
      </c>
      <c r="C233" s="67" t="n">
        <f aca="false">IF(ISNUMBER(C101),C101/IF_Util,C101)</f>
        <v>5.95171512707998</v>
      </c>
      <c r="D233" s="67" t="n">
        <f aca="false">IF(ISNUMBER(D101),D101/IF_Util,D101)</f>
        <v>5.95171512707998</v>
      </c>
      <c r="E233" s="67" t="n">
        <f aca="false">IF(ISNUMBER(E101),E101/IF_Util,E101)</f>
        <v>5.95171512707998</v>
      </c>
      <c r="F233" s="67" t="n">
        <f aca="false">IF(ISNUMBER(F101),F101/IF_Util,F101)</f>
        <v>29.1133717558573</v>
      </c>
      <c r="G233" s="67" t="n">
        <f aca="false">IF(ISNUMBER(G101),G101/IF_Util,G101)</f>
        <v>29.1133717558573</v>
      </c>
      <c r="H233" s="67" t="n">
        <f aca="false">IF(ISNUMBER(H101),H101/IF_Util,H101)</f>
        <v>29.1133717558573</v>
      </c>
      <c r="I233" s="67" t="n">
        <f aca="false">IF(ISNUMBER(I101),I101/IF_Util,I101)</f>
        <v>42.3854598701289</v>
      </c>
      <c r="J233" s="67" t="n">
        <f aca="false">IF(ISNUMBER(J101),J101/IF_Util,J101)</f>
        <v>42.3854598701289</v>
      </c>
      <c r="K233" s="67" t="n">
        <f aca="false">IF(ISNUMBER(K101),K101/IF_Util,K101)</f>
        <v>42.3854598701289</v>
      </c>
      <c r="L233" s="67" t="n">
        <f aca="false">IF(ISNUMBER(L101),L101/IF_Util,L101)</f>
        <v>62.0970377331622</v>
      </c>
      <c r="M233" s="67" t="n">
        <f aca="false">IF(ISNUMBER(M101),M101/IF_Util,M101)</f>
        <v>62.0970377331622</v>
      </c>
      <c r="N233" s="67" t="n">
        <f aca="false">IF(ISNUMBER(N101),N101/IF_Util,N101)</f>
        <v>62.0970377331622</v>
      </c>
      <c r="O233" s="67" t="n">
        <f aca="false">IF(ISNUMBER(O101),O101/IF_Util,O101)</f>
        <v>83.9212299203449</v>
      </c>
      <c r="P233" s="67" t="n">
        <f aca="false">IF(ISNUMBER(P101),P101/IF_Util,P101)</f>
        <v>83.9212299203449</v>
      </c>
      <c r="Q233" s="67" t="n">
        <f aca="false">IF(ISNUMBER(Q101),Q101/IF_Util,Q101)</f>
        <v>83.9212299203449</v>
      </c>
      <c r="R233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53" t="str">
        <f aca="false">IF(R233="—","—",IF(R233="A","基準輸入",IF(R233="B","情境、相對比較、反轉門檻","探索")))</f>
        <v>情境、相對比較、反轉門檻</v>
      </c>
      <c r="T233" s="54" t="s">
        <v>1951</v>
      </c>
      <c r="U233" s="53" t="str">
        <f aca="false">IF(V233=0,"—",LEFT(TEXT(V233,"0"),4)&amp;"-"&amp;MID(TEXT(V233,"0"),5,2)&amp;"-"&amp;RIGHT(TEXT(V233,"0"),2))</f>
        <v>2026-10-05</v>
      </c>
      <c r="V233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66" t="s">
        <v>2042</v>
      </c>
      <c r="X233" s="104" t="n">
        <f aca="false">IF(ISNUMBER(FIND("上限",S233)),1,0)</f>
        <v>0</v>
      </c>
      <c r="Y233" s="104" t="n">
        <v>0</v>
      </c>
    </row>
    <row r="234" customFormat="false" ht="15" hidden="false" customHeight="false" outlineLevel="0" collapsed="false">
      <c r="A234" s="53" t="s">
        <v>2204</v>
      </c>
      <c r="B234" s="54" t="s">
        <v>1371</v>
      </c>
      <c r="C234" s="67" t="n">
        <f aca="false">C101</f>
        <v>3.57102907624799</v>
      </c>
      <c r="D234" s="67" t="n">
        <f aca="false">D101</f>
        <v>3.57102907624799</v>
      </c>
      <c r="E234" s="67" t="n">
        <f aca="false">E101</f>
        <v>3.57102907624799</v>
      </c>
      <c r="F234" s="67" t="n">
        <f aca="false">F101</f>
        <v>17.4680230535144</v>
      </c>
      <c r="G234" s="67" t="n">
        <f aca="false">G101</f>
        <v>17.4680230535144</v>
      </c>
      <c r="H234" s="67" t="n">
        <f aca="false">H101</f>
        <v>17.4680230535144</v>
      </c>
      <c r="I234" s="67" t="n">
        <f aca="false">I101</f>
        <v>25.4312759220773</v>
      </c>
      <c r="J234" s="67" t="n">
        <f aca="false">J101</f>
        <v>25.4312759220773</v>
      </c>
      <c r="K234" s="67" t="n">
        <f aca="false">K101</f>
        <v>25.4312759220773</v>
      </c>
      <c r="L234" s="67" t="n">
        <f aca="false">L101</f>
        <v>37.2582226398973</v>
      </c>
      <c r="M234" s="67" t="n">
        <f aca="false">M101</f>
        <v>37.2582226398973</v>
      </c>
      <c r="N234" s="67" t="n">
        <f aca="false">N101</f>
        <v>37.2582226398973</v>
      </c>
      <c r="O234" s="67" t="n">
        <f aca="false">O101</f>
        <v>50.3527379522069</v>
      </c>
      <c r="P234" s="67" t="n">
        <f aca="false">P101</f>
        <v>50.3527379522069</v>
      </c>
      <c r="Q234" s="67" t="n">
        <f aca="false">Q101</f>
        <v>50.3527379522069</v>
      </c>
      <c r="R23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53" t="str">
        <f aca="false">IF(R234="—","—",IF(R234="A","基準輸入",IF(R234="B","情境、相對比較、反轉門檻","探索")))</f>
        <v>情境、相對比較、反轉門檻</v>
      </c>
      <c r="T234" s="54" t="s">
        <v>1977</v>
      </c>
      <c r="U234" s="53" t="str">
        <f aca="false">IF(V234=0,"—",LEFT(TEXT(V234,"0"),4)&amp;"-"&amp;MID(TEXT(V234,"0"),5,2)&amp;"-"&amp;RIGHT(TEXT(V234,"0"),2))</f>
        <v>2026-10-05</v>
      </c>
      <c r="V23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66" t="s">
        <v>2042</v>
      </c>
      <c r="X234" s="104" t="n">
        <f aca="false">IF(ISNUMBER(FIND("上限",S234)),1,0)</f>
        <v>0</v>
      </c>
      <c r="Y234" s="104" t="n">
        <v>0</v>
      </c>
    </row>
    <row r="235" customFormat="false" ht="15" hidden="false" customHeight="false" outlineLevel="0" collapsed="false">
      <c r="A235" s="53" t="s">
        <v>2205</v>
      </c>
      <c r="B235" s="54" t="s">
        <v>1371</v>
      </c>
      <c r="C235" s="67" t="n">
        <f aca="false">C207</f>
        <v>2.44762339054934</v>
      </c>
      <c r="D235" s="67" t="n">
        <f aca="false">D207</f>
        <v>2.44762339054934</v>
      </c>
      <c r="E235" s="67" t="n">
        <f aca="false">E207</f>
        <v>2.44762339054934</v>
      </c>
      <c r="F235" s="67" t="n">
        <f aca="false">F207</f>
        <v>13.6555857459493</v>
      </c>
      <c r="G235" s="67" t="n">
        <f aca="false">G207</f>
        <v>13.6555857459493</v>
      </c>
      <c r="H235" s="67" t="n">
        <f aca="false">H207</f>
        <v>13.6555857459493</v>
      </c>
      <c r="I235" s="67" t="n">
        <f aca="false">I207</f>
        <v>19.8808398591479</v>
      </c>
      <c r="J235" s="67" t="n">
        <f aca="false">J207</f>
        <v>19.8808398591479</v>
      </c>
      <c r="K235" s="67" t="n">
        <f aca="false">K207</f>
        <v>19.8808398591479</v>
      </c>
      <c r="L235" s="67" t="n">
        <f aca="false">L207</f>
        <v>29.3255549100997</v>
      </c>
      <c r="M235" s="67" t="n">
        <f aca="false">M207</f>
        <v>29.3255549100997</v>
      </c>
      <c r="N235" s="67" t="n">
        <f aca="false">N207</f>
        <v>29.3255549100997</v>
      </c>
      <c r="O235" s="67" t="n">
        <f aca="false">O207</f>
        <v>39.6992397829504</v>
      </c>
      <c r="P235" s="67" t="n">
        <f aca="false">P207</f>
        <v>39.6992397829504</v>
      </c>
      <c r="Q235" s="67" t="n">
        <f aca="false">Q207</f>
        <v>39.6992397829504</v>
      </c>
      <c r="R235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53" t="str">
        <f aca="false">IF(R235="—","—",IF(R235="A","基準輸入",IF(R235="B","情境、相對比較、反轉門檻","探索")))</f>
        <v>情境、相對比較、反轉門檻</v>
      </c>
      <c r="T235" s="54" t="s">
        <v>2163</v>
      </c>
      <c r="U235" s="53" t="str">
        <f aca="false">IF(V235=0,"—",LEFT(TEXT(V235,"0"),4)&amp;"-"&amp;MID(TEXT(V235,"0"),5,2)&amp;"-"&amp;RIGHT(TEXT(V235,"0"),2))</f>
        <v>2026-10-05</v>
      </c>
      <c r="V235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66" t="s">
        <v>2168</v>
      </c>
      <c r="X235" s="104" t="n">
        <f aca="false">IF(ISNUMBER(FIND("上限",S235)),1,0)</f>
        <v>0</v>
      </c>
      <c r="Y235" s="104" t="n">
        <v>0</v>
      </c>
    </row>
    <row r="236" customFormat="false" ht="15" hidden="false" customHeight="false" outlineLevel="0" collapsed="false">
      <c r="A236" s="53" t="s">
        <v>2206</v>
      </c>
      <c r="B236" s="54" t="s">
        <v>1371</v>
      </c>
      <c r="C236" s="67" t="n">
        <f aca="false">C213</f>
        <v>3.57102907624799</v>
      </c>
      <c r="D236" s="67" t="n">
        <f aca="false">D213</f>
        <v>3.57102907624799</v>
      </c>
      <c r="E236" s="67" t="n">
        <f aca="false">E213</f>
        <v>3.57102907624799</v>
      </c>
      <c r="F236" s="67" t="n">
        <f aca="false">F213</f>
        <v>17.4680230535144</v>
      </c>
      <c r="G236" s="67" t="n">
        <f aca="false">G213</f>
        <v>17.4680230535144</v>
      </c>
      <c r="H236" s="67" t="n">
        <f aca="false">H213</f>
        <v>17.4680230535144</v>
      </c>
      <c r="I236" s="67" t="n">
        <f aca="false">I213</f>
        <v>25.4312759220773</v>
      </c>
      <c r="J236" s="67" t="n">
        <f aca="false">J213</f>
        <v>25.4312759220773</v>
      </c>
      <c r="K236" s="67" t="n">
        <f aca="false">K213</f>
        <v>25.4312759220773</v>
      </c>
      <c r="L236" s="67" t="n">
        <f aca="false">L213</f>
        <v>37.2582226398973</v>
      </c>
      <c r="M236" s="67" t="n">
        <f aca="false">M213</f>
        <v>37.2582226398973</v>
      </c>
      <c r="N236" s="67" t="n">
        <f aca="false">N213</f>
        <v>37.2582226398973</v>
      </c>
      <c r="O236" s="67" t="n">
        <f aca="false">O213</f>
        <v>50.3527379522069</v>
      </c>
      <c r="P236" s="67" t="n">
        <f aca="false">P213</f>
        <v>50.3527379522069</v>
      </c>
      <c r="Q236" s="67" t="n">
        <f aca="false">Q213</f>
        <v>50.3527379522069</v>
      </c>
      <c r="R236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36" s="53" t="str">
        <f aca="false">IF(R236="—","—",IF(R236="A","基準輸入",IF(R236="B","情境、相對比較、反轉門檻","探索")))</f>
        <v>情境、相對比較、反轉門檻</v>
      </c>
      <c r="T236" s="54" t="s">
        <v>2175</v>
      </c>
      <c r="U236" s="53" t="str">
        <f aca="false">IF(V236=0,"—",LEFT(TEXT(V236,"0"),4)&amp;"-"&amp;MID(TEXT(V236,"0"),5,2)&amp;"-"&amp;RIGHT(TEXT(V236,"0"),2))</f>
        <v>2026-10-05</v>
      </c>
      <c r="V236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36" s="66" t="s">
        <v>2176</v>
      </c>
      <c r="X236" s="104" t="n">
        <f aca="false">IF(ISNUMBER(FIND("上限",S236)),1,0)</f>
        <v>0</v>
      </c>
      <c r="Y236" s="104" t="n">
        <v>0</v>
      </c>
    </row>
    <row r="237" customFormat="false" ht="15" hidden="false" customHeight="false" outlineLevel="0" collapsed="false">
      <c r="A237" s="10" t="s">
        <v>2202</v>
      </c>
    </row>
    <row r="238" customFormat="false" ht="15" hidden="false" customHeight="false" outlineLevel="0" collapsed="false">
      <c r="A238" s="53" t="s">
        <v>2207</v>
      </c>
      <c r="B238" s="54" t="s">
        <v>1371</v>
      </c>
      <c r="C238" s="67" t="n">
        <f aca="false">IF(ISNUMBER(C119),C119/IF_Util,C119)</f>
        <v>34.5375083299961</v>
      </c>
      <c r="D238" s="67" t="n">
        <f aca="false">IF(ISNUMBER(D119),D119/IF_Util,D119)</f>
        <v>34.5375083299961</v>
      </c>
      <c r="E238" s="67" t="n">
        <f aca="false">IF(ISNUMBER(E119),E119/IF_Util,E119)</f>
        <v>34.5375083299961</v>
      </c>
      <c r="F238" s="67" t="n">
        <f aca="false">IF(ISNUMBER(F119),F119/IF_Util,F119)</f>
        <v>167.34108902564</v>
      </c>
      <c r="G238" s="67" t="n">
        <f aca="false">IF(ISNUMBER(G119),G119/IF_Util,G119)</f>
        <v>167.34108902564</v>
      </c>
      <c r="H238" s="67" t="n">
        <f aca="false">IF(ISNUMBER(H119),H119/IF_Util,H119)</f>
        <v>167.34108902564</v>
      </c>
      <c r="I238" s="67" t="n">
        <f aca="false">IF(ISNUMBER(I119),I119/IF_Util,I119)</f>
        <v>243.627879072198</v>
      </c>
      <c r="J238" s="67" t="n">
        <f aca="false">IF(ISNUMBER(J119),J119/IF_Util,J119)</f>
        <v>243.627879072198</v>
      </c>
      <c r="K238" s="67" t="n">
        <f aca="false">IF(ISNUMBER(K119),K119/IF_Util,K119)</f>
        <v>243.627879072198</v>
      </c>
      <c r="L238" s="67" t="n">
        <f aca="false">IF(ISNUMBER(L119),L119/IF_Util,L119)</f>
        <v>381.347118606988</v>
      </c>
      <c r="M238" s="67" t="n">
        <f aca="false">IF(ISNUMBER(M119),M119/IF_Util,M119)</f>
        <v>381.347118606988</v>
      </c>
      <c r="N238" s="67" t="n">
        <f aca="false">IF(ISNUMBER(N119),N119/IF_Util,N119)</f>
        <v>381.347118606988</v>
      </c>
      <c r="O238" s="67" t="n">
        <f aca="false">IF(ISNUMBER(O119),O119/IF_Util,O119)</f>
        <v>524.216615381698</v>
      </c>
      <c r="P238" s="67" t="n">
        <f aca="false">IF(ISNUMBER(P119),P119/IF_Util,P119)</f>
        <v>524.216615381698</v>
      </c>
      <c r="Q238" s="67" t="n">
        <f aca="false">IF(ISNUMBER(Q119),Q119/IF_Util,Q119)</f>
        <v>524.216615381698</v>
      </c>
      <c r="R238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53" t="str">
        <f aca="false">IF(R238="—","—",IF(R238="A","基準輸入",IF(R238="B","情境、相對比較、反轉門檻","探索")))</f>
        <v>情境、相對比較、反轉門檻</v>
      </c>
      <c r="T238" s="54" t="s">
        <v>1951</v>
      </c>
      <c r="U238" s="53" t="str">
        <f aca="false">IF(V238=0,"—",LEFT(TEXT(V238,"0"),4)&amp;"-"&amp;MID(TEXT(V238,"0"),5,2)&amp;"-"&amp;RIGHT(TEXT(V238,"0"),2))</f>
        <v>2026-10-05</v>
      </c>
      <c r="V238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66" t="s">
        <v>2042</v>
      </c>
      <c r="X238" s="104" t="n">
        <f aca="false">IF(ISNUMBER(FIND("上限",S238)),1,0)</f>
        <v>0</v>
      </c>
      <c r="Y238" s="104" t="n">
        <v>0</v>
      </c>
    </row>
    <row r="239" customFormat="false" ht="15" hidden="false" customHeight="false" outlineLevel="0" collapsed="false">
      <c r="A239" s="53" t="s">
        <v>2208</v>
      </c>
      <c r="B239" s="54" t="s">
        <v>1371</v>
      </c>
      <c r="C239" s="67" t="n">
        <f aca="false">C119</f>
        <v>20.7225049979976</v>
      </c>
      <c r="D239" s="67" t="n">
        <f aca="false">D119</f>
        <v>20.7225049979976</v>
      </c>
      <c r="E239" s="67" t="n">
        <f aca="false">E119</f>
        <v>20.7225049979976</v>
      </c>
      <c r="F239" s="67" t="n">
        <f aca="false">F119</f>
        <v>100.404653415384</v>
      </c>
      <c r="G239" s="67" t="n">
        <f aca="false">G119</f>
        <v>100.404653415384</v>
      </c>
      <c r="H239" s="67" t="n">
        <f aca="false">H119</f>
        <v>100.404653415384</v>
      </c>
      <c r="I239" s="67" t="n">
        <f aca="false">I119</f>
        <v>146.176727443319</v>
      </c>
      <c r="J239" s="67" t="n">
        <f aca="false">J119</f>
        <v>146.176727443319</v>
      </c>
      <c r="K239" s="67" t="n">
        <f aca="false">K119</f>
        <v>146.176727443319</v>
      </c>
      <c r="L239" s="67" t="n">
        <f aca="false">L119</f>
        <v>228.808271164193</v>
      </c>
      <c r="M239" s="67" t="n">
        <f aca="false">M119</f>
        <v>228.808271164193</v>
      </c>
      <c r="N239" s="67" t="n">
        <f aca="false">N119</f>
        <v>228.808271164193</v>
      </c>
      <c r="O239" s="67" t="n">
        <f aca="false">O119</f>
        <v>314.529969229019</v>
      </c>
      <c r="P239" s="67" t="n">
        <f aca="false">P119</f>
        <v>314.529969229019</v>
      </c>
      <c r="Q239" s="67" t="n">
        <f aca="false">Q119</f>
        <v>314.529969229019</v>
      </c>
      <c r="R239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53" t="str">
        <f aca="false">IF(R239="—","—",IF(R239="A","基準輸入",IF(R239="B","情境、相對比較、反轉門檻","探索")))</f>
        <v>情境、相對比較、反轉門檻</v>
      </c>
      <c r="T239" s="54" t="s">
        <v>1977</v>
      </c>
      <c r="U239" s="53" t="str">
        <f aca="false">IF(V239=0,"—",LEFT(TEXT(V239,"0"),4)&amp;"-"&amp;MID(TEXT(V239,"0"),5,2)&amp;"-"&amp;RIGHT(TEXT(V239,"0"),2))</f>
        <v>2026-10-05</v>
      </c>
      <c r="V239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66" t="s">
        <v>2042</v>
      </c>
      <c r="X239" s="104" t="n">
        <f aca="false">IF(ISNUMBER(FIND("上限",S239)),1,0)</f>
        <v>0</v>
      </c>
      <c r="Y239" s="104" t="n">
        <v>0</v>
      </c>
    </row>
    <row r="240" customFormat="false" ht="15" hidden="false" customHeight="false" outlineLevel="0" collapsed="false">
      <c r="A240" s="53" t="s">
        <v>2209</v>
      </c>
      <c r="B240" s="54" t="s">
        <v>1371</v>
      </c>
      <c r="C240" s="67" t="n">
        <f aca="false">C208</f>
        <v>15.1336974133362</v>
      </c>
      <c r="D240" s="67" t="n">
        <f aca="false">D208</f>
        <v>15.1336974133362</v>
      </c>
      <c r="E240" s="67" t="n">
        <f aca="false">E208</f>
        <v>15.1336974133362</v>
      </c>
      <c r="F240" s="67" t="n">
        <f aca="false">F208</f>
        <v>80.1519532436076</v>
      </c>
      <c r="G240" s="67" t="n">
        <f aca="false">G208</f>
        <v>80.1519532436076</v>
      </c>
      <c r="H240" s="67" t="n">
        <f aca="false">H208</f>
        <v>80.1519532436076</v>
      </c>
      <c r="I240" s="67" t="n">
        <f aca="false">I208</f>
        <v>116.69130687468</v>
      </c>
      <c r="J240" s="67" t="n">
        <f aca="false">J208</f>
        <v>116.69130687468</v>
      </c>
      <c r="K240" s="67" t="n">
        <f aca="false">K208</f>
        <v>116.69130687468</v>
      </c>
      <c r="L240" s="67" t="n">
        <f aca="false">L208</f>
        <v>184.79597204631</v>
      </c>
      <c r="M240" s="67" t="n">
        <f aca="false">M208</f>
        <v>184.79597204631</v>
      </c>
      <c r="N240" s="67" t="n">
        <f aca="false">N208</f>
        <v>184.79597204631</v>
      </c>
      <c r="O240" s="67" t="n">
        <f aca="false">O208</f>
        <v>254.725350558298</v>
      </c>
      <c r="P240" s="67" t="n">
        <f aca="false">P208</f>
        <v>254.725350558298</v>
      </c>
      <c r="Q240" s="67" t="n">
        <f aca="false">Q208</f>
        <v>254.725350558298</v>
      </c>
      <c r="R240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53" t="str">
        <f aca="false">IF(R240="—","—",IF(R240="A","基準輸入",IF(R240="B","情境、相對比較、反轉門檻","探索")))</f>
        <v>情境、相對比較、反轉門檻</v>
      </c>
      <c r="T240" s="54" t="s">
        <v>2163</v>
      </c>
      <c r="U240" s="53" t="str">
        <f aca="false">IF(V240=0,"—",LEFT(TEXT(V240,"0"),4)&amp;"-"&amp;MID(TEXT(V240,"0"),5,2)&amp;"-"&amp;RIGHT(TEXT(V240,"0"),2))</f>
        <v>2026-10-05</v>
      </c>
      <c r="V240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66" t="s">
        <v>2168</v>
      </c>
      <c r="X240" s="104" t="n">
        <f aca="false">IF(ISNUMBER(FIND("上限",S240)),1,0)</f>
        <v>0</v>
      </c>
      <c r="Y240" s="104" t="n">
        <v>0</v>
      </c>
    </row>
    <row r="241" customFormat="false" ht="15" hidden="false" customHeight="false" outlineLevel="0" collapsed="false">
      <c r="A241" s="53" t="s">
        <v>2210</v>
      </c>
      <c r="B241" s="54" t="s">
        <v>1371</v>
      </c>
      <c r="C241" s="67" t="n">
        <f aca="false">C214</f>
        <v>20.7225049979976</v>
      </c>
      <c r="D241" s="67" t="n">
        <f aca="false">D214</f>
        <v>20.7225049979976</v>
      </c>
      <c r="E241" s="67" t="n">
        <f aca="false">E214</f>
        <v>20.7225049979976</v>
      </c>
      <c r="F241" s="67" t="n">
        <f aca="false">F214</f>
        <v>100.404653415384</v>
      </c>
      <c r="G241" s="67" t="n">
        <f aca="false">G214</f>
        <v>100.404653415384</v>
      </c>
      <c r="H241" s="67" t="n">
        <f aca="false">H214</f>
        <v>100.404653415384</v>
      </c>
      <c r="I241" s="67" t="n">
        <f aca="false">I214</f>
        <v>146.176727443319</v>
      </c>
      <c r="J241" s="67" t="n">
        <f aca="false">J214</f>
        <v>146.176727443319</v>
      </c>
      <c r="K241" s="67" t="n">
        <f aca="false">K214</f>
        <v>146.176727443319</v>
      </c>
      <c r="L241" s="67" t="n">
        <f aca="false">L214</f>
        <v>228.808271164193</v>
      </c>
      <c r="M241" s="67" t="n">
        <f aca="false">M214</f>
        <v>228.808271164193</v>
      </c>
      <c r="N241" s="67" t="n">
        <f aca="false">N214</f>
        <v>228.808271164193</v>
      </c>
      <c r="O241" s="67" t="n">
        <f aca="false">O214</f>
        <v>314.529969229019</v>
      </c>
      <c r="P241" s="67" t="n">
        <f aca="false">P214</f>
        <v>314.529969229019</v>
      </c>
      <c r="Q241" s="67" t="n">
        <f aca="false">Q214</f>
        <v>314.529969229019</v>
      </c>
      <c r="R241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41" s="53" t="str">
        <f aca="false">IF(R241="—","—",IF(R241="A","基準輸入",IF(R241="B","情境、相對比較、反轉門檻","探索")))</f>
        <v>情境、相對比較、反轉門檻</v>
      </c>
      <c r="T241" s="54" t="s">
        <v>2175</v>
      </c>
      <c r="U241" s="53" t="str">
        <f aca="false">IF(V241=0,"—",LEFT(TEXT(V241,"0"),4)&amp;"-"&amp;MID(TEXT(V241,"0"),5,2)&amp;"-"&amp;RIGHT(TEXT(V241,"0"),2))</f>
        <v>2026-10-05</v>
      </c>
      <c r="V241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41" s="66" t="s">
        <v>2176</v>
      </c>
      <c r="X241" s="104" t="n">
        <f aca="false">IF(ISNUMBER(FIND("上限",S241)),1,0)</f>
        <v>0</v>
      </c>
      <c r="Y241" s="104" t="n">
        <v>0</v>
      </c>
    </row>
    <row r="242" customFormat="false" ht="15" hidden="false" customHeight="false" outlineLevel="0" collapsed="false">
      <c r="A242" s="10" t="s">
        <v>2202</v>
      </c>
    </row>
    <row r="243" customFormat="false" ht="15" hidden="false" customHeight="false" outlineLevel="0" collapsed="false">
      <c r="A243" s="53" t="s">
        <v>2211</v>
      </c>
      <c r="B243" s="54" t="s">
        <v>1371</v>
      </c>
      <c r="C243" s="67" t="n">
        <f aca="false">IF(ISNUMBER(C137),C137/IF_Util,C137)</f>
        <v>31.1499781291377</v>
      </c>
      <c r="D243" s="67" t="n">
        <f aca="false">IF(ISNUMBER(D137),D137/IF_Util,D137)</f>
        <v>31.1499781291377</v>
      </c>
      <c r="E243" s="67" t="n">
        <f aca="false">IF(ISNUMBER(E137),E137/IF_Util,E137)</f>
        <v>31.1499781291377</v>
      </c>
      <c r="F243" s="67" t="n">
        <f aca="false">IF(ISNUMBER(F137),F137/IF_Util,F137)</f>
        <v>161.047308022036</v>
      </c>
      <c r="G243" s="67" t="n">
        <f aca="false">IF(ISNUMBER(G137),G137/IF_Util,G137)</f>
        <v>161.047308022036</v>
      </c>
      <c r="H243" s="67" t="n">
        <f aca="false">IF(ISNUMBER(H137),H137/IF_Util,H137)</f>
        <v>161.047308022036</v>
      </c>
      <c r="I243" s="67" t="n">
        <f aca="false">IF(ISNUMBER(I137),I137/IF_Util,I137)</f>
        <v>194.735562009066</v>
      </c>
      <c r="J243" s="67" t="n">
        <f aca="false">IF(ISNUMBER(J137),J137/IF_Util,J137)</f>
        <v>194.735562009066</v>
      </c>
      <c r="K243" s="67" t="n">
        <f aca="false">IF(ISNUMBER(K137),K137/IF_Util,K137)</f>
        <v>194.735562009066</v>
      </c>
      <c r="L243" s="67" t="n">
        <f aca="false">IF(ISNUMBER(L137),L137/IF_Util,L137)</f>
        <v>411.162427187643</v>
      </c>
      <c r="M243" s="67" t="n">
        <f aca="false">IF(ISNUMBER(M137),M137/IF_Util,M137)</f>
        <v>411.162427187643</v>
      </c>
      <c r="N243" s="67" t="n">
        <f aca="false">IF(ISNUMBER(N137),N137/IF_Util,N137)</f>
        <v>411.162427187643</v>
      </c>
      <c r="O243" s="67" t="n">
        <f aca="false">IF(ISNUMBER(O137),O137/IF_Util,O137)</f>
        <v>597.853015258317</v>
      </c>
      <c r="P243" s="67" t="n">
        <f aca="false">IF(ISNUMBER(P137),P137/IF_Util,P137)</f>
        <v>597.853015258317</v>
      </c>
      <c r="Q243" s="67" t="n">
        <f aca="false">IF(ISNUMBER(Q137),Q137/IF_Util,Q137)</f>
        <v>597.853015258317</v>
      </c>
      <c r="R243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53" t="str">
        <f aca="false">IF(R243="—","—",IF(R243="A","基準輸入",IF(R243="B","情境、相對比較、反轉門檻","探索")))</f>
        <v>情境、相對比較、反轉門檻</v>
      </c>
      <c r="T243" s="54" t="s">
        <v>1951</v>
      </c>
      <c r="U243" s="53" t="str">
        <f aca="false">IF(V243=0,"—",LEFT(TEXT(V243,"0"),4)&amp;"-"&amp;MID(TEXT(V243,"0"),5,2)&amp;"-"&amp;RIGHT(TEXT(V243,"0"),2))</f>
        <v>2026-10-05</v>
      </c>
      <c r="V243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66" t="s">
        <v>2042</v>
      </c>
      <c r="X243" s="104" t="n">
        <f aca="false">IF(ISNUMBER(FIND("上限",S243)),1,0)</f>
        <v>0</v>
      </c>
      <c r="Y243" s="104" t="n">
        <v>0</v>
      </c>
    </row>
    <row r="244" customFormat="false" ht="15" hidden="false" customHeight="false" outlineLevel="0" collapsed="false">
      <c r="A244" s="53" t="s">
        <v>2212</v>
      </c>
      <c r="B244" s="54" t="s">
        <v>1371</v>
      </c>
      <c r="C244" s="67" t="n">
        <f aca="false">C137</f>
        <v>18.6899868774826</v>
      </c>
      <c r="D244" s="67" t="n">
        <f aca="false">D137</f>
        <v>18.6899868774826</v>
      </c>
      <c r="E244" s="67" t="n">
        <f aca="false">E137</f>
        <v>18.6899868774826</v>
      </c>
      <c r="F244" s="67" t="n">
        <f aca="false">F137</f>
        <v>96.6283848132214</v>
      </c>
      <c r="G244" s="67" t="n">
        <f aca="false">G137</f>
        <v>96.6283848132214</v>
      </c>
      <c r="H244" s="67" t="n">
        <f aca="false">H137</f>
        <v>96.6283848132214</v>
      </c>
      <c r="I244" s="67" t="n">
        <f aca="false">I137</f>
        <v>116.841337205439</v>
      </c>
      <c r="J244" s="67" t="n">
        <f aca="false">J137</f>
        <v>116.841337205439</v>
      </c>
      <c r="K244" s="67" t="n">
        <f aca="false">K137</f>
        <v>116.841337205439</v>
      </c>
      <c r="L244" s="67" t="n">
        <f aca="false">L137</f>
        <v>246.697456312585</v>
      </c>
      <c r="M244" s="67" t="n">
        <f aca="false">M137</f>
        <v>246.697456312585</v>
      </c>
      <c r="N244" s="67" t="n">
        <f aca="false">N137</f>
        <v>246.697456312585</v>
      </c>
      <c r="O244" s="67" t="n">
        <f aca="false">O137</f>
        <v>358.71180915499</v>
      </c>
      <c r="P244" s="67" t="n">
        <f aca="false">P137</f>
        <v>358.71180915499</v>
      </c>
      <c r="Q244" s="67" t="n">
        <f aca="false">Q137</f>
        <v>358.71180915499</v>
      </c>
      <c r="R24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53" t="str">
        <f aca="false">IF(R244="—","—",IF(R244="A","基準輸入",IF(R244="B","情境、相對比較、反轉門檻","探索")))</f>
        <v>情境、相對比較、反轉門檻</v>
      </c>
      <c r="T244" s="54" t="s">
        <v>1977</v>
      </c>
      <c r="U244" s="53" t="str">
        <f aca="false">IF(V244=0,"—",LEFT(TEXT(V244,"0"),4)&amp;"-"&amp;MID(TEXT(V244,"0"),5,2)&amp;"-"&amp;RIGHT(TEXT(V244,"0"),2))</f>
        <v>2026-10-05</v>
      </c>
      <c r="V24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66" t="s">
        <v>2042</v>
      </c>
      <c r="X244" s="104" t="n">
        <f aca="false">IF(ISNUMBER(FIND("上限",S244)),1,0)</f>
        <v>0</v>
      </c>
      <c r="Y244" s="104" t="n">
        <v>0</v>
      </c>
    </row>
    <row r="245" customFormat="false" ht="15" hidden="false" customHeight="false" outlineLevel="0" collapsed="false">
      <c r="A245" s="53" t="s">
        <v>2213</v>
      </c>
      <c r="B245" s="54" t="s">
        <v>1371</v>
      </c>
      <c r="C245" s="67" t="n">
        <f aca="false">C209</f>
        <v>9.08886774488705</v>
      </c>
      <c r="D245" s="67" t="n">
        <f aca="false">D209</f>
        <v>9.08886774488705</v>
      </c>
      <c r="E245" s="67" t="n">
        <f aca="false">E209</f>
        <v>9.08886774488705</v>
      </c>
      <c r="F245" s="67" t="n">
        <f aca="false">F209</f>
        <v>70.8060260045462</v>
      </c>
      <c r="G245" s="67" t="n">
        <f aca="false">G209</f>
        <v>70.8060260045462</v>
      </c>
      <c r="H245" s="67" t="n">
        <f aca="false">H209</f>
        <v>70.8060260045462</v>
      </c>
      <c r="I245" s="67" t="n">
        <f aca="false">I209</f>
        <v>81.6810591163036</v>
      </c>
      <c r="J245" s="67" t="n">
        <f aca="false">J209</f>
        <v>81.6810591163036</v>
      </c>
      <c r="K245" s="67" t="n">
        <f aca="false">K209</f>
        <v>81.6810591163036</v>
      </c>
      <c r="L245" s="67" t="n">
        <f aca="false">L209</f>
        <v>188.934678809326</v>
      </c>
      <c r="M245" s="67" t="n">
        <f aca="false">M209</f>
        <v>188.934678809326</v>
      </c>
      <c r="N245" s="67" t="n">
        <f aca="false">N209</f>
        <v>188.934678809326</v>
      </c>
      <c r="O245" s="67" t="n">
        <f aca="false">O209</f>
        <v>278.482692813541</v>
      </c>
      <c r="P245" s="67" t="n">
        <f aca="false">P209</f>
        <v>278.482692813541</v>
      </c>
      <c r="Q245" s="67" t="n">
        <f aca="false">Q209</f>
        <v>278.482692813541</v>
      </c>
      <c r="R245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53" t="str">
        <f aca="false">IF(R245="—","—",IF(R245="A","基準輸入",IF(R245="B","情境、相對比較、反轉門檻","探索")))</f>
        <v>情境、相對比較、反轉門檻</v>
      </c>
      <c r="T245" s="54" t="s">
        <v>2163</v>
      </c>
      <c r="U245" s="53" t="str">
        <f aca="false">IF(V245=0,"—",LEFT(TEXT(V245,"0"),4)&amp;"-"&amp;MID(TEXT(V245,"0"),5,2)&amp;"-"&amp;RIGHT(TEXT(V245,"0"),2))</f>
        <v>2026-10-05</v>
      </c>
      <c r="V245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66" t="s">
        <v>2168</v>
      </c>
      <c r="X245" s="104" t="n">
        <f aca="false">IF(ISNUMBER(FIND("上限",S245)),1,0)</f>
        <v>0</v>
      </c>
      <c r="Y245" s="104" t="n">
        <v>0</v>
      </c>
    </row>
    <row r="246" customFormat="false" ht="15" hidden="false" customHeight="false" outlineLevel="0" collapsed="false">
      <c r="A246" s="53" t="s">
        <v>2214</v>
      </c>
      <c r="B246" s="54" t="s">
        <v>1371</v>
      </c>
      <c r="C246" s="67" t="n">
        <f aca="false">C215</f>
        <v>18.6899868774826</v>
      </c>
      <c r="D246" s="67" t="n">
        <f aca="false">D215</f>
        <v>18.6899868774826</v>
      </c>
      <c r="E246" s="67" t="n">
        <f aca="false">E215</f>
        <v>18.6899868774826</v>
      </c>
      <c r="F246" s="67" t="n">
        <f aca="false">F215</f>
        <v>96.6283848132214</v>
      </c>
      <c r="G246" s="67" t="n">
        <f aca="false">G215</f>
        <v>96.6283848132214</v>
      </c>
      <c r="H246" s="67" t="n">
        <f aca="false">H215</f>
        <v>96.6283848132214</v>
      </c>
      <c r="I246" s="67" t="n">
        <f aca="false">I215</f>
        <v>116.841337205439</v>
      </c>
      <c r="J246" s="67" t="n">
        <f aca="false">J215</f>
        <v>116.841337205439</v>
      </c>
      <c r="K246" s="67" t="n">
        <f aca="false">K215</f>
        <v>116.841337205439</v>
      </c>
      <c r="L246" s="67" t="n">
        <f aca="false">L215</f>
        <v>246.697456312585</v>
      </c>
      <c r="M246" s="67" t="n">
        <f aca="false">M215</f>
        <v>246.697456312585</v>
      </c>
      <c r="N246" s="67" t="n">
        <f aca="false">N215</f>
        <v>246.697456312585</v>
      </c>
      <c r="O246" s="67" t="n">
        <f aca="false">O215</f>
        <v>358.71180915499</v>
      </c>
      <c r="P246" s="67" t="n">
        <f aca="false">P215</f>
        <v>358.71180915499</v>
      </c>
      <c r="Q246" s="67" t="n">
        <f aca="false">Q215</f>
        <v>358.71180915499</v>
      </c>
      <c r="R246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,Gov_Map!$AH$597:$AH$598)&gt;0,"B","A"))</f>
        <v>B</v>
      </c>
      <c r="S246" s="53" t="str">
        <f aca="false">IF(R246="—","—",IF(R246="A","基準輸入",IF(R246="B","情境、相對比較、反轉門檻","探索")))</f>
        <v>情境、相對比較、反轉門檻</v>
      </c>
      <c r="T246" s="54" t="s">
        <v>2175</v>
      </c>
      <c r="U246" s="53" t="str">
        <f aca="false">IF(V246=0,"—",LEFT(TEXT(V246,"0"),4)&amp;"-"&amp;MID(TEXT(V246,"0"),5,2)&amp;"-"&amp;RIGHT(TEXT(V246,"0"),2))</f>
        <v>2026-10-05</v>
      </c>
      <c r="V246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,Gov_Map!$AJ$597:$AJ$598)</f>
        <v>20261005</v>
      </c>
      <c r="W246" s="66" t="s">
        <v>2176</v>
      </c>
      <c r="X246" s="104" t="n">
        <f aca="false">IF(ISNUMBER(FIND("上限",S246)),1,0)</f>
        <v>0</v>
      </c>
      <c r="Y246" s="104" t="n">
        <v>0</v>
      </c>
    </row>
    <row r="247" customFormat="false" ht="15" hidden="false" customHeight="false" outlineLevel="0" collapsed="false">
      <c r="A247" s="10" t="s">
        <v>2215</v>
      </c>
    </row>
    <row r="248" customFormat="false" ht="15" hidden="false" customHeight="false" outlineLevel="0" collapsed="false">
      <c r="A248" s="53" t="s">
        <v>2216</v>
      </c>
      <c r="B248" s="54" t="s">
        <v>1371</v>
      </c>
      <c r="C248" s="67" t="n">
        <f aca="false">IF(ISNUMBER(C143),C143/IF_Util,C143)</f>
        <v>6.67481291645273</v>
      </c>
      <c r="D248" s="67" t="n">
        <f aca="false">IF(ISNUMBER(D143),D143/IF_Util,D143)</f>
        <v>6.67481291645273</v>
      </c>
      <c r="E248" s="67" t="n">
        <f aca="false">IF(ISNUMBER(E143),E143/IF_Util,E143)</f>
        <v>6.67481291645273</v>
      </c>
      <c r="F248" s="67" t="n">
        <f aca="false">IF(ISNUMBER(F143),F143/IF_Util,F143)</f>
        <v>33.6243597685213</v>
      </c>
      <c r="G248" s="67" t="n">
        <f aca="false">IF(ISNUMBER(G143),G143/IF_Util,G143)</f>
        <v>33.6243597685213</v>
      </c>
      <c r="H248" s="67" t="n">
        <f aca="false">IF(ISNUMBER(H143),H143/IF_Util,H143)</f>
        <v>33.6243597685213</v>
      </c>
      <c r="I248" s="67" t="n">
        <f aca="false">IF(ISNUMBER(I143),I143/IF_Util,I143)</f>
        <v>43.7753928327944</v>
      </c>
      <c r="J248" s="67" t="n">
        <f aca="false">IF(ISNUMBER(J143),J143/IF_Util,J143)</f>
        <v>43.7753928327944</v>
      </c>
      <c r="K248" s="67" t="n">
        <f aca="false">IF(ISNUMBER(K143),K143/IF_Util,K143)</f>
        <v>43.7753928327944</v>
      </c>
      <c r="L248" s="67" t="n">
        <f aca="false">IF(ISNUMBER(L143),L143/IF_Util,L143)</f>
        <v>81.2061699399891</v>
      </c>
      <c r="M248" s="67" t="n">
        <f aca="false">IF(ISNUMBER(M143),M143/IF_Util,M143)</f>
        <v>81.2061699399891</v>
      </c>
      <c r="N248" s="67" t="n">
        <f aca="false">IF(ISNUMBER(N143),N143/IF_Util,N143)</f>
        <v>81.2061699399891</v>
      </c>
      <c r="O248" s="67" t="n">
        <f aca="false">IF(ISNUMBER(O143),O143/IF_Util,O143)</f>
        <v>114.879376192016</v>
      </c>
      <c r="P248" s="67" t="n">
        <f aca="false">IF(ISNUMBER(P143),P143/IF_Util,P143)</f>
        <v>114.879376192016</v>
      </c>
      <c r="Q248" s="67" t="n">
        <f aca="false">IF(ISNUMBER(Q143),Q143/IF_Util,Q143)</f>
        <v>114.879376192016</v>
      </c>
      <c r="R248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53" t="str">
        <f aca="false">IF(R248="—","—",IF(R248="A","基準輸入",IF(R248="B","情境、相對比較、反轉門檻","探索")))</f>
        <v>情境、相對比較、反轉門檻</v>
      </c>
      <c r="T248" s="54" t="s">
        <v>1951</v>
      </c>
      <c r="U248" s="53" t="str">
        <f aca="false">IF(V248=0,"—",LEFT(TEXT(V248,"0"),4)&amp;"-"&amp;MID(TEXT(V248,"0"),5,2)&amp;"-"&amp;RIGHT(TEXT(V248,"0"),2))</f>
        <v>2026-10-05</v>
      </c>
      <c r="V248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66" t="s">
        <v>2082</v>
      </c>
      <c r="X248" s="104" t="n">
        <f aca="false">IF(ISNUMBER(FIND("上限",S248)),1,0)</f>
        <v>0</v>
      </c>
      <c r="Y248" s="104" t="n">
        <v>0</v>
      </c>
    </row>
    <row r="249" customFormat="false" ht="15" hidden="false" customHeight="false" outlineLevel="0" collapsed="false">
      <c r="A249" s="53" t="s">
        <v>2217</v>
      </c>
      <c r="B249" s="54" t="s">
        <v>1371</v>
      </c>
      <c r="C249" s="67" t="n">
        <f aca="false">C143</f>
        <v>4.00488774987164</v>
      </c>
      <c r="D249" s="67" t="n">
        <f aca="false">D143</f>
        <v>4.00488774987164</v>
      </c>
      <c r="E249" s="67" t="n">
        <f aca="false">E143</f>
        <v>4.00488774987164</v>
      </c>
      <c r="F249" s="67" t="n">
        <f aca="false">F143</f>
        <v>20.1746158611128</v>
      </c>
      <c r="G249" s="67" t="n">
        <f aca="false">G143</f>
        <v>20.1746158611128</v>
      </c>
      <c r="H249" s="67" t="n">
        <f aca="false">H143</f>
        <v>20.1746158611128</v>
      </c>
      <c r="I249" s="67" t="n">
        <f aca="false">I143</f>
        <v>26.2652356996766</v>
      </c>
      <c r="J249" s="67" t="n">
        <f aca="false">J143</f>
        <v>26.2652356996766</v>
      </c>
      <c r="K249" s="67" t="n">
        <f aca="false">K143</f>
        <v>26.2652356996766</v>
      </c>
      <c r="L249" s="67" t="n">
        <f aca="false">L143</f>
        <v>48.7237019639935</v>
      </c>
      <c r="M249" s="67" t="n">
        <f aca="false">M143</f>
        <v>48.7237019639935</v>
      </c>
      <c r="N249" s="67" t="n">
        <f aca="false">N143</f>
        <v>48.7237019639935</v>
      </c>
      <c r="O249" s="67" t="n">
        <f aca="false">O143</f>
        <v>68.9276257152094</v>
      </c>
      <c r="P249" s="67" t="n">
        <f aca="false">P143</f>
        <v>68.9276257152094</v>
      </c>
      <c r="Q249" s="67" t="n">
        <f aca="false">Q143</f>
        <v>68.9276257152094</v>
      </c>
      <c r="R249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53" t="str">
        <f aca="false">IF(R249="—","—",IF(R249="A","基準輸入",IF(R249="B","情境、相對比較、反轉門檻","探索")))</f>
        <v>情境、相對比較、反轉門檻</v>
      </c>
      <c r="T249" s="54" t="s">
        <v>1977</v>
      </c>
      <c r="U249" s="53" t="str">
        <f aca="false">IF(V249=0,"—",LEFT(TEXT(V249,"0"),4)&amp;"-"&amp;MID(TEXT(V249,"0"),5,2)&amp;"-"&amp;RIGHT(TEXT(V249,"0"),2))</f>
        <v>2026-10-05</v>
      </c>
      <c r="V249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66" t="s">
        <v>2082</v>
      </c>
      <c r="X249" s="104" t="n">
        <f aca="false">IF(ISNUMBER(FIND("上限",S249)),1,0)</f>
        <v>0</v>
      </c>
      <c r="Y249" s="104" t="n">
        <v>0</v>
      </c>
    </row>
    <row r="250" customFormat="false" ht="15" hidden="false" customHeight="false" outlineLevel="0" collapsed="false">
      <c r="A250" s="53" t="s">
        <v>2218</v>
      </c>
      <c r="B250" s="54" t="s">
        <v>1371</v>
      </c>
      <c r="C250" s="67" t="n">
        <f aca="false">C210</f>
        <v>2.24296199760285</v>
      </c>
      <c r="D250" s="67" t="n">
        <f aca="false">D210</f>
        <v>2.24296199760285</v>
      </c>
      <c r="E250" s="67" t="n">
        <f aca="false">E210</f>
        <v>2.24296199760285</v>
      </c>
      <c r="F250" s="67" t="n">
        <f aca="false">F210</f>
        <v>15.2851605558118</v>
      </c>
      <c r="G250" s="67" t="n">
        <f aca="false">G210</f>
        <v>15.2851605558118</v>
      </c>
      <c r="H250" s="67" t="n">
        <f aca="false">H210</f>
        <v>15.2851605558118</v>
      </c>
      <c r="I250" s="67" t="n">
        <f aca="false">I210</f>
        <v>19.2324652424837</v>
      </c>
      <c r="J250" s="67" t="n">
        <f aca="false">J210</f>
        <v>19.2324652424837</v>
      </c>
      <c r="K250" s="67" t="n">
        <f aca="false">K210</f>
        <v>19.2324652424837</v>
      </c>
      <c r="L250" s="67" t="n">
        <f aca="false">L210</f>
        <v>38.1145472754025</v>
      </c>
      <c r="M250" s="67" t="n">
        <f aca="false">M210</f>
        <v>38.1145472754025</v>
      </c>
      <c r="N250" s="67" t="n">
        <f aca="false">N210</f>
        <v>38.1145472754025</v>
      </c>
      <c r="O250" s="67" t="n">
        <f aca="false">O210</f>
        <v>54.4181760054532</v>
      </c>
      <c r="P250" s="67" t="n">
        <f aca="false">P210</f>
        <v>54.4181760054532</v>
      </c>
      <c r="Q250" s="67" t="n">
        <f aca="false">Q210</f>
        <v>54.4181760054532</v>
      </c>
      <c r="R250" s="85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53" t="str">
        <f aca="false">IF(R250="—","—",IF(R250="A","基準輸入",IF(R250="B","情境、相對比較、反轉門檻","探索")))</f>
        <v>情境、相對比較、反轉門檻</v>
      </c>
      <c r="T250" s="54" t="s">
        <v>2163</v>
      </c>
      <c r="U250" s="53" t="str">
        <f aca="false">IF(V250=0,"—",LEFT(TEXT(V250,"0"),4)&amp;"-"&amp;MID(TEXT(V250,"0"),5,2)&amp;"-"&amp;RIGHT(TEXT(V250,"0"),2))</f>
        <v>2026-10-05</v>
      </c>
      <c r="V250" s="82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66" t="s">
        <v>2172</v>
      </c>
      <c r="X250" s="104" t="n">
        <f aca="false">IF(ISNUMBER(FIND("上限",S250)),1,0)</f>
        <v>0</v>
      </c>
      <c r="Y250" s="104" t="n">
        <v>0</v>
      </c>
    </row>
    <row r="251" customFormat="false" ht="15" hidden="false" customHeight="false" outlineLevel="0" collapsed="false">
      <c r="A251" s="53" t="s">
        <v>2219</v>
      </c>
      <c r="B251" s="54" t="s">
        <v>1371</v>
      </c>
      <c r="C251" s="67" t="n">
        <f aca="false">C216</f>
        <v>4.00488774987164</v>
      </c>
      <c r="D251" s="67" t="n">
        <f aca="false">D216</f>
        <v>4.00488774987164</v>
      </c>
      <c r="E251" s="67" t="n">
        <f aca="false">E216</f>
        <v>4.00488774987164</v>
      </c>
      <c r="F251" s="67" t="n">
        <f aca="false">F216</f>
        <v>20.1746158611128</v>
      </c>
      <c r="G251" s="67" t="n">
        <f aca="false">G216</f>
        <v>20.1746158611128</v>
      </c>
      <c r="H251" s="67" t="n">
        <f aca="false">H216</f>
        <v>20.1746158611128</v>
      </c>
      <c r="I251" s="67" t="n">
        <f aca="false">I216</f>
        <v>26.2652356996766</v>
      </c>
      <c r="J251" s="67" t="n">
        <f aca="false">J216</f>
        <v>26.2652356996766</v>
      </c>
      <c r="K251" s="67" t="n">
        <f aca="false">K216</f>
        <v>26.2652356996766</v>
      </c>
      <c r="L251" s="67" t="n">
        <f aca="false">L216</f>
        <v>48.7237019639935</v>
      </c>
      <c r="M251" s="67" t="n">
        <f aca="false">M216</f>
        <v>48.7237019639935</v>
      </c>
      <c r="N251" s="67" t="n">
        <f aca="false">N216</f>
        <v>48.7237019639935</v>
      </c>
      <c r="O251" s="67" t="n">
        <f aca="false">O216</f>
        <v>68.9276257152094</v>
      </c>
      <c r="P251" s="67" t="n">
        <f aca="false">P216</f>
        <v>68.9276257152094</v>
      </c>
      <c r="Q251" s="67" t="n">
        <f aca="false">Q216</f>
        <v>68.9276257152094</v>
      </c>
      <c r="R251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$597:$AG$598)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$597:$AH$598)&gt;0,"B","A"))</f>
        <v>B</v>
      </c>
      <c r="S251" s="53" t="str">
        <f aca="false">IF(R251="—","—",IF(R251="A","基準輸入",IF(R251="B","情境、相對比較、反轉門檻","探索")))</f>
        <v>情境、相對比較、反轉門檻</v>
      </c>
      <c r="T251" s="54" t="s">
        <v>2175</v>
      </c>
      <c r="U251" s="53" t="str">
        <f aca="false">IF(V251=0,"—",LEFT(TEXT(V251,"0"),4)&amp;"-"&amp;MID(TEXT(V251,"0"),5,2)&amp;"-"&amp;RIGHT(TEXT(V251,"0"),2))</f>
        <v>2026-10-05</v>
      </c>
      <c r="V251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$597:$AJ$598)</f>
        <v>20261005</v>
      </c>
      <c r="W251" s="66" t="s">
        <v>2180</v>
      </c>
      <c r="X251" s="104" t="n">
        <f aca="false">IF(ISNUMBER(FIND("上限",S251)),1,0)</f>
        <v>0</v>
      </c>
      <c r="Y251" s="104" t="n">
        <v>0</v>
      </c>
    </row>
    <row r="252" customFormat="false" ht="15" hidden="false" customHeight="false" outlineLevel="0" collapsed="false">
      <c r="A252" s="10" t="s">
        <v>2220</v>
      </c>
    </row>
    <row r="253" customFormat="false" ht="15" hidden="false" customHeight="false" outlineLevel="0" collapsed="false">
      <c r="A253" s="53" t="s">
        <v>2221</v>
      </c>
      <c r="B253" s="54" t="s">
        <v>1371</v>
      </c>
      <c r="C253" s="67" t="n">
        <f aca="false">IF(ISNUMBER(C102),C102/IF_Util,C102)</f>
        <v>5.95171512707998</v>
      </c>
      <c r="D253" s="67" t="n">
        <f aca="false">IF(ISNUMBER(D102),D102/IF_Util,D102)</f>
        <v>5.95171512707998</v>
      </c>
      <c r="E253" s="67" t="n">
        <f aca="false">IF(ISNUMBER(E102),E102/IF_Util,E102)</f>
        <v>5.95171512707998</v>
      </c>
      <c r="F253" s="67" t="n">
        <f aca="false">IF(ISNUMBER(F102),F102/IF_Util,F102)</f>
        <v>29.1133717558573</v>
      </c>
      <c r="G253" s="67" t="n">
        <f aca="false">IF(ISNUMBER(G102),G102/IF_Util,G102)</f>
        <v>29.1133717558573</v>
      </c>
      <c r="H253" s="67" t="n">
        <f aca="false">IF(ISNUMBER(H102),H102/IF_Util,H102)</f>
        <v>29.1133717558573</v>
      </c>
      <c r="I253" s="67" t="n">
        <f aca="false">IF(ISNUMBER(I102),I102/IF_Util,I102)</f>
        <v>42.3854598701289</v>
      </c>
      <c r="J253" s="67" t="n">
        <f aca="false">IF(ISNUMBER(J102),J102/IF_Util,J102)</f>
        <v>42.3854598701289</v>
      </c>
      <c r="K253" s="67" t="n">
        <f aca="false">IF(ISNUMBER(K102),K102/IF_Util,K102)</f>
        <v>42.3854598701289</v>
      </c>
      <c r="L253" s="67" t="n">
        <f aca="false">IF(ISNUMBER(L102),L102/IF_Util,L102)</f>
        <v>62.0970377331622</v>
      </c>
      <c r="M253" s="67" t="n">
        <f aca="false">IF(ISNUMBER(M102),M102/IF_Util,M102)</f>
        <v>62.0970377331622</v>
      </c>
      <c r="N253" s="67" t="n">
        <f aca="false">IF(ISNUMBER(N102),N102/IF_Util,N102)</f>
        <v>62.0970377331622</v>
      </c>
      <c r="O253" s="67" t="n">
        <f aca="false">IF(ISNUMBER(O102),O102/IF_Util,O102)</f>
        <v>83.9212299203448</v>
      </c>
      <c r="P253" s="67" t="n">
        <f aca="false">IF(ISNUMBER(P102),P102/IF_Util,P102)</f>
        <v>83.9212299203448</v>
      </c>
      <c r="Q253" s="67" t="n">
        <f aca="false">IF(ISNUMBER(Q102),Q102/IF_Util,Q102)</f>
        <v>83.9212299203448</v>
      </c>
      <c r="R253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53" t="str">
        <f aca="false">IF(R253="—","—",IF(R253="A","基準輸入",IF(R253="B","情境、相對比較、反轉門檻","探索")))</f>
        <v>情境、相對比較、反轉門檻</v>
      </c>
      <c r="T253" s="54" t="s">
        <v>1951</v>
      </c>
      <c r="U253" s="53" t="str">
        <f aca="false">IF(V253=0,"—",LEFT(TEXT(V253,"0"),4)&amp;"-"&amp;MID(TEXT(V253,"0"),5,2)&amp;"-"&amp;RIGHT(TEXT(V253,"0"),2))</f>
        <v>2026-10-05</v>
      </c>
      <c r="V253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66" t="s">
        <v>2044</v>
      </c>
      <c r="X253" s="104" t="n">
        <f aca="false">IF(ISNUMBER(FIND("上限",S253)),1,0)</f>
        <v>0</v>
      </c>
      <c r="Y253" s="104" t="n">
        <v>0</v>
      </c>
    </row>
    <row r="254" customFormat="false" ht="15" hidden="false" customHeight="false" outlineLevel="0" collapsed="false">
      <c r="A254" s="53" t="s">
        <v>2222</v>
      </c>
      <c r="B254" s="54" t="s">
        <v>1371</v>
      </c>
      <c r="C254" s="67" t="n">
        <f aca="false">C102</f>
        <v>3.57102907624799</v>
      </c>
      <c r="D254" s="67" t="n">
        <f aca="false">D102</f>
        <v>3.57102907624799</v>
      </c>
      <c r="E254" s="67" t="n">
        <f aca="false">E102</f>
        <v>3.57102907624799</v>
      </c>
      <c r="F254" s="67" t="n">
        <f aca="false">F102</f>
        <v>17.4680230535144</v>
      </c>
      <c r="G254" s="67" t="n">
        <f aca="false">G102</f>
        <v>17.4680230535144</v>
      </c>
      <c r="H254" s="67" t="n">
        <f aca="false">H102</f>
        <v>17.4680230535144</v>
      </c>
      <c r="I254" s="67" t="n">
        <f aca="false">I102</f>
        <v>25.4312759220773</v>
      </c>
      <c r="J254" s="67" t="n">
        <f aca="false">J102</f>
        <v>25.4312759220773</v>
      </c>
      <c r="K254" s="67" t="n">
        <f aca="false">K102</f>
        <v>25.4312759220773</v>
      </c>
      <c r="L254" s="67" t="n">
        <f aca="false">L102</f>
        <v>37.2582226398973</v>
      </c>
      <c r="M254" s="67" t="n">
        <f aca="false">M102</f>
        <v>37.2582226398973</v>
      </c>
      <c r="N254" s="67" t="n">
        <f aca="false">N102</f>
        <v>37.2582226398973</v>
      </c>
      <c r="O254" s="67" t="n">
        <f aca="false">O102</f>
        <v>50.3527379522069</v>
      </c>
      <c r="P254" s="67" t="n">
        <f aca="false">P102</f>
        <v>50.3527379522069</v>
      </c>
      <c r="Q254" s="67" t="n">
        <f aca="false">Q102</f>
        <v>50.3527379522069</v>
      </c>
      <c r="R25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53" t="str">
        <f aca="false">IF(R254="—","—",IF(R254="A","基準輸入",IF(R254="B","情境、相對比較、反轉門檻","探索")))</f>
        <v>情境、相對比較、反轉門檻</v>
      </c>
      <c r="T254" s="54" t="s">
        <v>1977</v>
      </c>
      <c r="U254" s="53" t="str">
        <f aca="false">IF(V254=0,"—",LEFT(TEXT(V254,"0"),4)&amp;"-"&amp;MID(TEXT(V254,"0"),5,2)&amp;"-"&amp;RIGHT(TEXT(V254,"0"),2))</f>
        <v>2026-10-05</v>
      </c>
      <c r="V25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66" t="s">
        <v>2044</v>
      </c>
      <c r="X254" s="104" t="n">
        <f aca="false">IF(ISNUMBER(FIND("上限",S254)),1,0)</f>
        <v>0</v>
      </c>
      <c r="Y254" s="104" t="n">
        <v>0</v>
      </c>
    </row>
    <row r="255" customFormat="false" ht="15" hidden="false" customHeight="false" outlineLevel="0" collapsed="false">
      <c r="A255" s="53" t="s">
        <v>2223</v>
      </c>
      <c r="B255" s="54" t="s">
        <v>1371</v>
      </c>
      <c r="C255" s="54" t="s">
        <v>587</v>
      </c>
      <c r="D255" s="54" t="s">
        <v>587</v>
      </c>
      <c r="E255" s="54" t="s">
        <v>587</v>
      </c>
      <c r="F255" s="54" t="s">
        <v>587</v>
      </c>
      <c r="G255" s="54" t="s">
        <v>587</v>
      </c>
      <c r="H255" s="54" t="s">
        <v>587</v>
      </c>
      <c r="I255" s="54" t="s">
        <v>587</v>
      </c>
      <c r="J255" s="54" t="s">
        <v>587</v>
      </c>
      <c r="K255" s="54" t="s">
        <v>587</v>
      </c>
      <c r="L255" s="54" t="s">
        <v>587</v>
      </c>
      <c r="M255" s="54" t="s">
        <v>587</v>
      </c>
      <c r="N255" s="54" t="s">
        <v>587</v>
      </c>
      <c r="O255" s="54" t="s">
        <v>587</v>
      </c>
      <c r="P255" s="54" t="s">
        <v>587</v>
      </c>
      <c r="Q255" s="54" t="s">
        <v>587</v>
      </c>
    </row>
    <row r="256" customFormat="false" ht="15" hidden="false" customHeight="false" outlineLevel="0" collapsed="false">
      <c r="A256" s="53" t="s">
        <v>2224</v>
      </c>
      <c r="B256" s="54" t="s">
        <v>1371</v>
      </c>
      <c r="C256" s="54" t="s">
        <v>587</v>
      </c>
      <c r="D256" s="54" t="s">
        <v>587</v>
      </c>
      <c r="E256" s="54" t="s">
        <v>587</v>
      </c>
      <c r="F256" s="54" t="s">
        <v>587</v>
      </c>
      <c r="G256" s="54" t="s">
        <v>587</v>
      </c>
      <c r="H256" s="54" t="s">
        <v>587</v>
      </c>
      <c r="I256" s="54" t="s">
        <v>587</v>
      </c>
      <c r="J256" s="54" t="s">
        <v>587</v>
      </c>
      <c r="K256" s="54" t="s">
        <v>587</v>
      </c>
      <c r="L256" s="54" t="s">
        <v>587</v>
      </c>
      <c r="M256" s="54" t="s">
        <v>587</v>
      </c>
      <c r="N256" s="54" t="s">
        <v>587</v>
      </c>
      <c r="O256" s="54" t="s">
        <v>587</v>
      </c>
      <c r="P256" s="54" t="s">
        <v>587</v>
      </c>
      <c r="Q256" s="54" t="s">
        <v>587</v>
      </c>
    </row>
    <row r="257" customFormat="false" ht="15" hidden="false" customHeight="false" outlineLevel="0" collapsed="false">
      <c r="A257" s="10" t="s">
        <v>2220</v>
      </c>
    </row>
    <row r="258" customFormat="false" ht="15" hidden="false" customHeight="false" outlineLevel="0" collapsed="false">
      <c r="A258" s="53" t="s">
        <v>2225</v>
      </c>
      <c r="B258" s="54" t="s">
        <v>1371</v>
      </c>
      <c r="C258" s="67" t="n">
        <f aca="false">IF(ISNUMBER(C120),C120/IF_Util,C120)</f>
        <v>34.5375083299961</v>
      </c>
      <c r="D258" s="67" t="n">
        <f aca="false">IF(ISNUMBER(D120),D120/IF_Util,D120)</f>
        <v>34.5375083299961</v>
      </c>
      <c r="E258" s="67" t="n">
        <f aca="false">IF(ISNUMBER(E120),E120/IF_Util,E120)</f>
        <v>34.5375083299961</v>
      </c>
      <c r="F258" s="67" t="n">
        <f aca="false">IF(ISNUMBER(F120),F120/IF_Util,F120)</f>
        <v>167.34108902564</v>
      </c>
      <c r="G258" s="67" t="n">
        <f aca="false">IF(ISNUMBER(G120),G120/IF_Util,G120)</f>
        <v>167.34108902564</v>
      </c>
      <c r="H258" s="67" t="n">
        <f aca="false">IF(ISNUMBER(H120),H120/IF_Util,H120)</f>
        <v>167.34108902564</v>
      </c>
      <c r="I258" s="67" t="n">
        <f aca="false">IF(ISNUMBER(I120),I120/IF_Util,I120)</f>
        <v>243.627879072198</v>
      </c>
      <c r="J258" s="67" t="n">
        <f aca="false">IF(ISNUMBER(J120),J120/IF_Util,J120)</f>
        <v>243.627879072198</v>
      </c>
      <c r="K258" s="67" t="n">
        <f aca="false">IF(ISNUMBER(K120),K120/IF_Util,K120)</f>
        <v>243.627879072198</v>
      </c>
      <c r="L258" s="67" t="n">
        <f aca="false">IF(ISNUMBER(L120),L120/IF_Util,L120)</f>
        <v>381.347118606988</v>
      </c>
      <c r="M258" s="67" t="n">
        <f aca="false">IF(ISNUMBER(M120),M120/IF_Util,M120)</f>
        <v>381.347118606988</v>
      </c>
      <c r="N258" s="67" t="n">
        <f aca="false">IF(ISNUMBER(N120),N120/IF_Util,N120)</f>
        <v>381.347118606988</v>
      </c>
      <c r="O258" s="67" t="n">
        <f aca="false">IF(ISNUMBER(O120),O120/IF_Util,O120)</f>
        <v>524.216615381698</v>
      </c>
      <c r="P258" s="67" t="n">
        <f aca="false">IF(ISNUMBER(P120),P120/IF_Util,P120)</f>
        <v>524.216615381698</v>
      </c>
      <c r="Q258" s="67" t="n">
        <f aca="false">IF(ISNUMBER(Q120),Q120/IF_Util,Q120)</f>
        <v>524.216615381698</v>
      </c>
      <c r="R258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53" t="str">
        <f aca="false">IF(R258="—","—",IF(R258="A","基準輸入",IF(R258="B","情境、相對比較、反轉門檻","探索")))</f>
        <v>情境、相對比較、反轉門檻</v>
      </c>
      <c r="T258" s="54" t="s">
        <v>1951</v>
      </c>
      <c r="U258" s="53" t="str">
        <f aca="false">IF(V258=0,"—",LEFT(TEXT(V258,"0"),4)&amp;"-"&amp;MID(TEXT(V258,"0"),5,2)&amp;"-"&amp;RIGHT(TEXT(V258,"0"),2))</f>
        <v>2026-10-05</v>
      </c>
      <c r="V258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66" t="s">
        <v>2044</v>
      </c>
      <c r="X258" s="104" t="n">
        <f aca="false">IF(ISNUMBER(FIND("上限",S258)),1,0)</f>
        <v>0</v>
      </c>
      <c r="Y258" s="104" t="n">
        <v>0</v>
      </c>
    </row>
    <row r="259" customFormat="false" ht="15" hidden="false" customHeight="false" outlineLevel="0" collapsed="false">
      <c r="A259" s="53" t="s">
        <v>2226</v>
      </c>
      <c r="B259" s="54" t="s">
        <v>1371</v>
      </c>
      <c r="C259" s="67" t="n">
        <f aca="false">C120</f>
        <v>20.7225049979976</v>
      </c>
      <c r="D259" s="67" t="n">
        <f aca="false">D120</f>
        <v>20.7225049979976</v>
      </c>
      <c r="E259" s="67" t="n">
        <f aca="false">E120</f>
        <v>20.7225049979976</v>
      </c>
      <c r="F259" s="67" t="n">
        <f aca="false">F120</f>
        <v>100.404653415384</v>
      </c>
      <c r="G259" s="67" t="n">
        <f aca="false">G120</f>
        <v>100.404653415384</v>
      </c>
      <c r="H259" s="67" t="n">
        <f aca="false">H120</f>
        <v>100.404653415384</v>
      </c>
      <c r="I259" s="67" t="n">
        <f aca="false">I120</f>
        <v>146.176727443319</v>
      </c>
      <c r="J259" s="67" t="n">
        <f aca="false">J120</f>
        <v>146.176727443319</v>
      </c>
      <c r="K259" s="67" t="n">
        <f aca="false">K120</f>
        <v>146.176727443319</v>
      </c>
      <c r="L259" s="67" t="n">
        <f aca="false">L120</f>
        <v>228.808271164193</v>
      </c>
      <c r="M259" s="67" t="n">
        <f aca="false">M120</f>
        <v>228.808271164193</v>
      </c>
      <c r="N259" s="67" t="n">
        <f aca="false">N120</f>
        <v>228.808271164193</v>
      </c>
      <c r="O259" s="67" t="n">
        <f aca="false">O120</f>
        <v>314.529969229019</v>
      </c>
      <c r="P259" s="67" t="n">
        <f aca="false">P120</f>
        <v>314.529969229019</v>
      </c>
      <c r="Q259" s="67" t="n">
        <f aca="false">Q120</f>
        <v>314.529969229019</v>
      </c>
      <c r="R259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53" t="str">
        <f aca="false">IF(R259="—","—",IF(R259="A","基準輸入",IF(R259="B","情境、相對比較、反轉門檻","探索")))</f>
        <v>情境、相對比較、反轉門檻</v>
      </c>
      <c r="T259" s="54" t="s">
        <v>1977</v>
      </c>
      <c r="U259" s="53" t="str">
        <f aca="false">IF(V259=0,"—",LEFT(TEXT(V259,"0"),4)&amp;"-"&amp;MID(TEXT(V259,"0"),5,2)&amp;"-"&amp;RIGHT(TEXT(V259,"0"),2))</f>
        <v>2026-10-05</v>
      </c>
      <c r="V259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66" t="s">
        <v>2044</v>
      </c>
      <c r="X259" s="104" t="n">
        <f aca="false">IF(ISNUMBER(FIND("上限",S259)),1,0)</f>
        <v>0</v>
      </c>
      <c r="Y259" s="104" t="n">
        <v>0</v>
      </c>
    </row>
    <row r="260" customFormat="false" ht="15" hidden="false" customHeight="false" outlineLevel="0" collapsed="false">
      <c r="A260" s="53" t="s">
        <v>2227</v>
      </c>
      <c r="B260" s="54" t="s">
        <v>1371</v>
      </c>
      <c r="C260" s="54" t="s">
        <v>587</v>
      </c>
      <c r="D260" s="54" t="s">
        <v>587</v>
      </c>
      <c r="E260" s="54" t="s">
        <v>587</v>
      </c>
      <c r="F260" s="54" t="s">
        <v>587</v>
      </c>
      <c r="G260" s="54" t="s">
        <v>587</v>
      </c>
      <c r="H260" s="54" t="s">
        <v>587</v>
      </c>
      <c r="I260" s="54" t="s">
        <v>587</v>
      </c>
      <c r="J260" s="54" t="s">
        <v>587</v>
      </c>
      <c r="K260" s="54" t="s">
        <v>587</v>
      </c>
      <c r="L260" s="54" t="s">
        <v>587</v>
      </c>
      <c r="M260" s="54" t="s">
        <v>587</v>
      </c>
      <c r="N260" s="54" t="s">
        <v>587</v>
      </c>
      <c r="O260" s="54" t="s">
        <v>587</v>
      </c>
      <c r="P260" s="54" t="s">
        <v>587</v>
      </c>
      <c r="Q260" s="54" t="s">
        <v>587</v>
      </c>
    </row>
    <row r="261" customFormat="false" ht="15" hidden="false" customHeight="false" outlineLevel="0" collapsed="false">
      <c r="A261" s="53" t="s">
        <v>2228</v>
      </c>
      <c r="B261" s="54" t="s">
        <v>1371</v>
      </c>
      <c r="C261" s="54" t="s">
        <v>587</v>
      </c>
      <c r="D261" s="54" t="s">
        <v>587</v>
      </c>
      <c r="E261" s="54" t="s">
        <v>587</v>
      </c>
      <c r="F261" s="54" t="s">
        <v>587</v>
      </c>
      <c r="G261" s="54" t="s">
        <v>587</v>
      </c>
      <c r="H261" s="54" t="s">
        <v>587</v>
      </c>
      <c r="I261" s="54" t="s">
        <v>587</v>
      </c>
      <c r="J261" s="54" t="s">
        <v>587</v>
      </c>
      <c r="K261" s="54" t="s">
        <v>587</v>
      </c>
      <c r="L261" s="54" t="s">
        <v>587</v>
      </c>
      <c r="M261" s="54" t="s">
        <v>587</v>
      </c>
      <c r="N261" s="54" t="s">
        <v>587</v>
      </c>
      <c r="O261" s="54" t="s">
        <v>587</v>
      </c>
      <c r="P261" s="54" t="s">
        <v>587</v>
      </c>
      <c r="Q261" s="54" t="s">
        <v>587</v>
      </c>
    </row>
    <row r="262" customFormat="false" ht="15" hidden="false" customHeight="false" outlineLevel="0" collapsed="false">
      <c r="A262" s="10" t="s">
        <v>2220</v>
      </c>
    </row>
    <row r="263" customFormat="false" ht="15" hidden="false" customHeight="false" outlineLevel="0" collapsed="false">
      <c r="A263" s="53" t="s">
        <v>2229</v>
      </c>
      <c r="B263" s="54" t="s">
        <v>1371</v>
      </c>
      <c r="C263" s="67" t="n">
        <f aca="false">IF(ISNUMBER(C138),C138/IF_Util,C138)</f>
        <v>30.0128660956626</v>
      </c>
      <c r="D263" s="67" t="n">
        <f aca="false">IF(ISNUMBER(D138),D138/IF_Util,D138)</f>
        <v>30.0128660956626</v>
      </c>
      <c r="E263" s="67" t="n">
        <f aca="false">IF(ISNUMBER(E138),E138/IF_Util,E138)</f>
        <v>30.0128660956626</v>
      </c>
      <c r="F263" s="67" t="n">
        <f aca="false">IF(ISNUMBER(F138),F138/IF_Util,F138)</f>
        <v>155.168368680523</v>
      </c>
      <c r="G263" s="67" t="n">
        <f aca="false">IF(ISNUMBER(G138),G138/IF_Util,G138)</f>
        <v>155.168368680523</v>
      </c>
      <c r="H263" s="67" t="n">
        <f aca="false">IF(ISNUMBER(H138),H138/IF_Util,H138)</f>
        <v>155.168368680523</v>
      </c>
      <c r="I263" s="67" t="n">
        <f aca="false">IF(ISNUMBER(I138),I138/IF_Util,I138)</f>
        <v>187.626852333956</v>
      </c>
      <c r="J263" s="67" t="n">
        <f aca="false">IF(ISNUMBER(J138),J138/IF_Util,J138)</f>
        <v>187.626852333956</v>
      </c>
      <c r="K263" s="67" t="n">
        <f aca="false">IF(ISNUMBER(K138),K138/IF_Util,K138)</f>
        <v>187.626852333956</v>
      </c>
      <c r="L263" s="67" t="n">
        <f aca="false">IF(ISNUMBER(L138),L138/IF_Util,L138)</f>
        <v>396.153179292518</v>
      </c>
      <c r="M263" s="67" t="n">
        <f aca="false">IF(ISNUMBER(M138),M138/IF_Util,M138)</f>
        <v>396.153179292518</v>
      </c>
      <c r="N263" s="67" t="n">
        <f aca="false">IF(ISNUMBER(N138),N138/IF_Util,N138)</f>
        <v>396.153179292518</v>
      </c>
      <c r="O263" s="67" t="n">
        <f aca="false">IF(ISNUMBER(O138),O138/IF_Util,O138)</f>
        <v>576.028734834064</v>
      </c>
      <c r="P263" s="67" t="n">
        <f aca="false">IF(ISNUMBER(P138),P138/IF_Util,P138)</f>
        <v>576.028734834064</v>
      </c>
      <c r="Q263" s="67" t="n">
        <f aca="false">IF(ISNUMBER(Q138),Q138/IF_Util,Q138)</f>
        <v>576.028734834064</v>
      </c>
      <c r="R263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53" t="str">
        <f aca="false">IF(R263="—","—",IF(R263="A","基準輸入",IF(R263="B","情境、相對比較、反轉門檻","探索")))</f>
        <v>情境、相對比較、反轉門檻</v>
      </c>
      <c r="T263" s="54" t="s">
        <v>1951</v>
      </c>
      <c r="U263" s="53" t="str">
        <f aca="false">IF(V263=0,"—",LEFT(TEXT(V263,"0"),4)&amp;"-"&amp;MID(TEXT(V263,"0"),5,2)&amp;"-"&amp;RIGHT(TEXT(V263,"0"),2))</f>
        <v>2026-10-05</v>
      </c>
      <c r="V263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66" t="s">
        <v>2044</v>
      </c>
      <c r="X263" s="104" t="n">
        <f aca="false">IF(ISNUMBER(FIND("上限",S263)),1,0)</f>
        <v>0</v>
      </c>
      <c r="Y263" s="104" t="n">
        <v>0</v>
      </c>
    </row>
    <row r="264" customFormat="false" ht="15" hidden="false" customHeight="false" outlineLevel="0" collapsed="false">
      <c r="A264" s="53" t="s">
        <v>2230</v>
      </c>
      <c r="B264" s="54" t="s">
        <v>1371</v>
      </c>
      <c r="C264" s="67" t="n">
        <f aca="false">C138</f>
        <v>18.0077196573975</v>
      </c>
      <c r="D264" s="67" t="n">
        <f aca="false">D138</f>
        <v>18.0077196573975</v>
      </c>
      <c r="E264" s="67" t="n">
        <f aca="false">E138</f>
        <v>18.0077196573975</v>
      </c>
      <c r="F264" s="67" t="n">
        <f aca="false">F138</f>
        <v>93.101021208314</v>
      </c>
      <c r="G264" s="67" t="n">
        <f aca="false">G138</f>
        <v>93.101021208314</v>
      </c>
      <c r="H264" s="67" t="n">
        <f aca="false">H138</f>
        <v>93.101021208314</v>
      </c>
      <c r="I264" s="67" t="n">
        <f aca="false">I138</f>
        <v>112.576111400374</v>
      </c>
      <c r="J264" s="67" t="n">
        <f aca="false">J138</f>
        <v>112.576111400374</v>
      </c>
      <c r="K264" s="67" t="n">
        <f aca="false">K138</f>
        <v>112.576111400374</v>
      </c>
      <c r="L264" s="67" t="n">
        <f aca="false">L138</f>
        <v>237.691907575511</v>
      </c>
      <c r="M264" s="67" t="n">
        <f aca="false">M138</f>
        <v>237.691907575511</v>
      </c>
      <c r="N264" s="67" t="n">
        <f aca="false">N138</f>
        <v>237.691907575511</v>
      </c>
      <c r="O264" s="67" t="n">
        <f aca="false">O138</f>
        <v>345.617240900439</v>
      </c>
      <c r="P264" s="67" t="n">
        <f aca="false">P138</f>
        <v>345.617240900439</v>
      </c>
      <c r="Q264" s="67" t="n">
        <f aca="false">Q138</f>
        <v>345.617240900439</v>
      </c>
      <c r="R26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53" t="str">
        <f aca="false">IF(R264="—","—",IF(R264="A","基準輸入",IF(R264="B","情境、相對比較、反轉門檻","探索")))</f>
        <v>情境、相對比較、反轉門檻</v>
      </c>
      <c r="T264" s="54" t="s">
        <v>1977</v>
      </c>
      <c r="U264" s="53" t="str">
        <f aca="false">IF(V264=0,"—",LEFT(TEXT(V264,"0"),4)&amp;"-"&amp;MID(TEXT(V264,"0"),5,2)&amp;"-"&amp;RIGHT(TEXT(V264,"0"),2))</f>
        <v>2026-10-05</v>
      </c>
      <c r="V26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66" t="s">
        <v>2044</v>
      </c>
      <c r="X264" s="104" t="n">
        <f aca="false">IF(ISNUMBER(FIND("上限",S264)),1,0)</f>
        <v>0</v>
      </c>
      <c r="Y264" s="104" t="n">
        <v>0</v>
      </c>
    </row>
    <row r="265" customFormat="false" ht="15" hidden="false" customHeight="false" outlineLevel="0" collapsed="false">
      <c r="A265" s="53" t="s">
        <v>2231</v>
      </c>
      <c r="B265" s="54" t="s">
        <v>1371</v>
      </c>
      <c r="C265" s="54" t="s">
        <v>587</v>
      </c>
      <c r="D265" s="54" t="s">
        <v>587</v>
      </c>
      <c r="E265" s="54" t="s">
        <v>587</v>
      </c>
      <c r="F265" s="54" t="s">
        <v>587</v>
      </c>
      <c r="G265" s="54" t="s">
        <v>587</v>
      </c>
      <c r="H265" s="54" t="s">
        <v>587</v>
      </c>
      <c r="I265" s="54" t="s">
        <v>587</v>
      </c>
      <c r="J265" s="54" t="s">
        <v>587</v>
      </c>
      <c r="K265" s="54" t="s">
        <v>587</v>
      </c>
      <c r="L265" s="54" t="s">
        <v>587</v>
      </c>
      <c r="M265" s="54" t="s">
        <v>587</v>
      </c>
      <c r="N265" s="54" t="s">
        <v>587</v>
      </c>
      <c r="O265" s="54" t="s">
        <v>587</v>
      </c>
      <c r="P265" s="54" t="s">
        <v>587</v>
      </c>
      <c r="Q265" s="54" t="s">
        <v>587</v>
      </c>
    </row>
    <row r="266" customFormat="false" ht="15" hidden="false" customHeight="false" outlineLevel="0" collapsed="false">
      <c r="A266" s="53" t="s">
        <v>2232</v>
      </c>
      <c r="B266" s="54" t="s">
        <v>1371</v>
      </c>
      <c r="C266" s="54" t="s">
        <v>587</v>
      </c>
      <c r="D266" s="54" t="s">
        <v>587</v>
      </c>
      <c r="E266" s="54" t="s">
        <v>587</v>
      </c>
      <c r="F266" s="54" t="s">
        <v>587</v>
      </c>
      <c r="G266" s="54" t="s">
        <v>587</v>
      </c>
      <c r="H266" s="54" t="s">
        <v>587</v>
      </c>
      <c r="I266" s="54" t="s">
        <v>587</v>
      </c>
      <c r="J266" s="54" t="s">
        <v>587</v>
      </c>
      <c r="K266" s="54" t="s">
        <v>587</v>
      </c>
      <c r="L266" s="54" t="s">
        <v>587</v>
      </c>
      <c r="M266" s="54" t="s">
        <v>587</v>
      </c>
      <c r="N266" s="54" t="s">
        <v>587</v>
      </c>
      <c r="O266" s="54" t="s">
        <v>587</v>
      </c>
      <c r="P266" s="54" t="s">
        <v>587</v>
      </c>
      <c r="Q266" s="54" t="s">
        <v>587</v>
      </c>
    </row>
    <row r="267" customFormat="false" ht="15" hidden="false" customHeight="false" outlineLevel="0" collapsed="false">
      <c r="A267" s="10" t="s">
        <v>2233</v>
      </c>
    </row>
    <row r="268" customFormat="false" ht="15" hidden="false" customHeight="false" outlineLevel="0" collapsed="false">
      <c r="A268" s="53" t="s">
        <v>2234</v>
      </c>
      <c r="B268" s="54" t="s">
        <v>1371</v>
      </c>
      <c r="C268" s="67" t="n">
        <f aca="false">IF(ISNUMBER(C147),C147/IF_Util,C147)</f>
        <v>6.52502180619395</v>
      </c>
      <c r="D268" s="67" t="n">
        <f aca="false">IF(ISNUMBER(D147),D147/IF_Util,D147)</f>
        <v>6.52502180619395</v>
      </c>
      <c r="E268" s="67" t="n">
        <f aca="false">IF(ISNUMBER(E147),E147/IF_Util,E147)</f>
        <v>6.52502180619395</v>
      </c>
      <c r="F268" s="67" t="n">
        <f aca="false">IF(ISNUMBER(F147),F147/IF_Util,F147)</f>
        <v>32.8697872816951</v>
      </c>
      <c r="G268" s="67" t="n">
        <f aca="false">IF(ISNUMBER(G147),G147/IF_Util,G147)</f>
        <v>32.8697872816951</v>
      </c>
      <c r="H268" s="67" t="n">
        <f aca="false">IF(ISNUMBER(H147),H147/IF_Util,H147)</f>
        <v>32.8697872816951</v>
      </c>
      <c r="I268" s="67" t="n">
        <f aca="false">IF(ISNUMBER(I147),I147/IF_Util,I147)</f>
        <v>42.7930185285984</v>
      </c>
      <c r="J268" s="67" t="n">
        <f aca="false">IF(ISNUMBER(J147),J147/IF_Util,J147)</f>
        <v>42.7930185285984</v>
      </c>
      <c r="K268" s="67" t="n">
        <f aca="false">IF(ISNUMBER(K147),K147/IF_Util,K147)</f>
        <v>42.7930185285984</v>
      </c>
      <c r="L268" s="67" t="n">
        <f aca="false">IF(ISNUMBER(L147),L147/IF_Util,L147)</f>
        <v>79.3838024058832</v>
      </c>
      <c r="M268" s="67" t="n">
        <f aca="false">IF(ISNUMBER(M147),M147/IF_Util,M147)</f>
        <v>79.3838024058832</v>
      </c>
      <c r="N268" s="67" t="n">
        <f aca="false">IF(ISNUMBER(N147),N147/IF_Util,N147)</f>
        <v>79.3838024058832</v>
      </c>
      <c r="O268" s="67" t="n">
        <f aca="false">IF(ISNUMBER(O147),O147/IF_Util,O147)</f>
        <v>112.301339995192</v>
      </c>
      <c r="P268" s="67" t="n">
        <f aca="false">IF(ISNUMBER(P147),P147/IF_Util,P147)</f>
        <v>112.301339995192</v>
      </c>
      <c r="Q268" s="67" t="n">
        <f aca="false">IF(ISNUMBER(Q147),Q147/IF_Util,Q147)</f>
        <v>112.301339995192</v>
      </c>
      <c r="R268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53" t="str">
        <f aca="false">IF(R268="—","—",IF(R268="A","基準輸入",IF(R268="B","情境、相對比較、反轉門檻","探索")))</f>
        <v>情境、相對比較、反轉門檻</v>
      </c>
      <c r="T268" s="54" t="s">
        <v>1951</v>
      </c>
      <c r="U268" s="53" t="str">
        <f aca="false">IF(V268=0,"—",LEFT(TEXT(V268,"0"),4)&amp;"-"&amp;MID(TEXT(V268,"0"),5,2)&amp;"-"&amp;RIGHT(TEXT(V268,"0"),2))</f>
        <v>2026-10-05</v>
      </c>
      <c r="V268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66" t="s">
        <v>2087</v>
      </c>
      <c r="X268" s="104" t="n">
        <f aca="false">IF(ISNUMBER(FIND("上限",S268)),1,0)</f>
        <v>0</v>
      </c>
      <c r="Y268" s="104" t="n">
        <v>0</v>
      </c>
    </row>
    <row r="269" customFormat="false" ht="15" hidden="false" customHeight="false" outlineLevel="0" collapsed="false">
      <c r="A269" s="53" t="s">
        <v>2235</v>
      </c>
      <c r="B269" s="54" t="s">
        <v>1371</v>
      </c>
      <c r="C269" s="67" t="n">
        <f aca="false">C147</f>
        <v>3.91501308371637</v>
      </c>
      <c r="D269" s="67" t="n">
        <f aca="false">D147</f>
        <v>3.91501308371637</v>
      </c>
      <c r="E269" s="67" t="n">
        <f aca="false">E147</f>
        <v>3.91501308371637</v>
      </c>
      <c r="F269" s="67" t="n">
        <f aca="false">F147</f>
        <v>19.7218723690171</v>
      </c>
      <c r="G269" s="67" t="n">
        <f aca="false">G147</f>
        <v>19.7218723690171</v>
      </c>
      <c r="H269" s="67" t="n">
        <f aca="false">H147</f>
        <v>19.7218723690171</v>
      </c>
      <c r="I269" s="67" t="n">
        <f aca="false">I147</f>
        <v>25.6758111171591</v>
      </c>
      <c r="J269" s="67" t="n">
        <f aca="false">J147</f>
        <v>25.6758111171591</v>
      </c>
      <c r="K269" s="67" t="n">
        <f aca="false">K147</f>
        <v>25.6758111171591</v>
      </c>
      <c r="L269" s="67" t="n">
        <f aca="false">L147</f>
        <v>47.6302814435299</v>
      </c>
      <c r="M269" s="67" t="n">
        <f aca="false">M147</f>
        <v>47.6302814435299</v>
      </c>
      <c r="N269" s="67" t="n">
        <f aca="false">N147</f>
        <v>47.6302814435299</v>
      </c>
      <c r="O269" s="67" t="n">
        <f aca="false">O147</f>
        <v>67.3808039971155</v>
      </c>
      <c r="P269" s="67" t="n">
        <f aca="false">P147</f>
        <v>67.3808039971155</v>
      </c>
      <c r="Q269" s="67" t="n">
        <f aca="false">Q147</f>
        <v>67.3808039971155</v>
      </c>
      <c r="R269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53" t="str">
        <f aca="false">IF(R269="—","—",IF(R269="A","基準輸入",IF(R269="B","情境、相對比較、反轉門檻","探索")))</f>
        <v>情境、相對比較、反轉門檻</v>
      </c>
      <c r="T269" s="54" t="s">
        <v>1977</v>
      </c>
      <c r="U269" s="53" t="str">
        <f aca="false">IF(V269=0,"—",LEFT(TEXT(V269,"0"),4)&amp;"-"&amp;MID(TEXT(V269,"0"),5,2)&amp;"-"&amp;RIGHT(TEXT(V269,"0"),2))</f>
        <v>2026-10-05</v>
      </c>
      <c r="V269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66" t="s">
        <v>2087</v>
      </c>
      <c r="X269" s="104" t="n">
        <f aca="false">IF(ISNUMBER(FIND("上限",S269)),1,0)</f>
        <v>0</v>
      </c>
      <c r="Y269" s="104" t="n">
        <v>0</v>
      </c>
    </row>
    <row r="270" customFormat="false" ht="15" hidden="false" customHeight="false" outlineLevel="0" collapsed="false">
      <c r="A270" s="53" t="s">
        <v>2236</v>
      </c>
      <c r="B270" s="54" t="s">
        <v>1371</v>
      </c>
      <c r="C270" s="54" t="s">
        <v>587</v>
      </c>
      <c r="D270" s="54" t="s">
        <v>587</v>
      </c>
      <c r="E270" s="54" t="s">
        <v>587</v>
      </c>
      <c r="F270" s="54" t="s">
        <v>587</v>
      </c>
      <c r="G270" s="54" t="s">
        <v>587</v>
      </c>
      <c r="H270" s="54" t="s">
        <v>587</v>
      </c>
      <c r="I270" s="54" t="s">
        <v>587</v>
      </c>
      <c r="J270" s="54" t="s">
        <v>587</v>
      </c>
      <c r="K270" s="54" t="s">
        <v>587</v>
      </c>
      <c r="L270" s="54" t="s">
        <v>587</v>
      </c>
      <c r="M270" s="54" t="s">
        <v>587</v>
      </c>
      <c r="N270" s="54" t="s">
        <v>587</v>
      </c>
      <c r="O270" s="54" t="s">
        <v>587</v>
      </c>
      <c r="P270" s="54" t="s">
        <v>587</v>
      </c>
      <c r="Q270" s="54" t="s">
        <v>587</v>
      </c>
    </row>
    <row r="271" customFormat="false" ht="15" hidden="false" customHeight="false" outlineLevel="0" collapsed="false">
      <c r="A271" s="53" t="s">
        <v>2237</v>
      </c>
      <c r="B271" s="54" t="s">
        <v>1371</v>
      </c>
      <c r="C271" s="54" t="s">
        <v>587</v>
      </c>
      <c r="D271" s="54" t="s">
        <v>587</v>
      </c>
      <c r="E271" s="54" t="s">
        <v>587</v>
      </c>
      <c r="F271" s="54" t="s">
        <v>587</v>
      </c>
      <c r="G271" s="54" t="s">
        <v>587</v>
      </c>
      <c r="H271" s="54" t="s">
        <v>587</v>
      </c>
      <c r="I271" s="54" t="s">
        <v>587</v>
      </c>
      <c r="J271" s="54" t="s">
        <v>587</v>
      </c>
      <c r="K271" s="54" t="s">
        <v>587</v>
      </c>
      <c r="L271" s="54" t="s">
        <v>587</v>
      </c>
      <c r="M271" s="54" t="s">
        <v>587</v>
      </c>
      <c r="N271" s="54" t="s">
        <v>587</v>
      </c>
      <c r="O271" s="54" t="s">
        <v>587</v>
      </c>
      <c r="P271" s="54" t="s">
        <v>587</v>
      </c>
      <c r="Q271" s="54" t="s">
        <v>587</v>
      </c>
    </row>
    <row r="272" customFormat="false" ht="15" hidden="false" customHeight="false" outlineLevel="0" collapsed="false">
      <c r="A272" s="10" t="s">
        <v>2238</v>
      </c>
    </row>
    <row r="273" customFormat="false" ht="15" hidden="false" customHeight="false" outlineLevel="0" collapsed="false">
      <c r="A273" s="53" t="s">
        <v>2239</v>
      </c>
      <c r="B273" s="54" t="s">
        <v>766</v>
      </c>
      <c r="C273" s="60" t="n">
        <f aca="false">C21</f>
        <v>74067251304.9223</v>
      </c>
      <c r="D273" s="60" t="n">
        <f aca="false">D21</f>
        <v>74067251304.9223</v>
      </c>
      <c r="E273" s="60" t="n">
        <f aca="false">E21</f>
        <v>74067251304.9223</v>
      </c>
      <c r="F273" s="60" t="n">
        <f aca="false">F21</f>
        <v>362306894085.614</v>
      </c>
      <c r="G273" s="60" t="n">
        <f aca="false">G21</f>
        <v>362306894085.614</v>
      </c>
      <c r="H273" s="60" t="n">
        <f aca="false">H21</f>
        <v>362306894085.614</v>
      </c>
      <c r="I273" s="60" t="n">
        <f aca="false">I21</f>
        <v>527473919843.971</v>
      </c>
      <c r="J273" s="60" t="n">
        <f aca="false">J21</f>
        <v>527473919843.971</v>
      </c>
      <c r="K273" s="60" t="n">
        <f aca="false">K21</f>
        <v>527473919843.971</v>
      </c>
      <c r="L273" s="60" t="n">
        <f aca="false">L21</f>
        <v>772778400993.445</v>
      </c>
      <c r="M273" s="60" t="n">
        <f aca="false">M21</f>
        <v>772778400993.445</v>
      </c>
      <c r="N273" s="60" t="n">
        <f aca="false">N21</f>
        <v>772778400993.445</v>
      </c>
      <c r="O273" s="60" t="n">
        <f aca="false">O21</f>
        <v>1044373713057.39</v>
      </c>
      <c r="P273" s="60" t="n">
        <f aca="false">P21</f>
        <v>1044373713057.39</v>
      </c>
      <c r="Q273" s="60" t="n">
        <f aca="false">Q21</f>
        <v>1044373713057.39</v>
      </c>
      <c r="R273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53" t="str">
        <f aca="false">IF(R273="—","—",IF(R273="A","基準輸入",IF(R273="B","情境、相對比較、反轉門檻","探索")))</f>
        <v>情境、相對比較、反轉門檻</v>
      </c>
      <c r="T273" s="54" t="s">
        <v>1951</v>
      </c>
      <c r="U273" s="53" t="str">
        <f aca="false">IF(V273=0,"—",LEFT(TEXT(V273,"0"),4)&amp;"-"&amp;MID(TEXT(V273,"0"),5,2)&amp;"-"&amp;RIGHT(TEXT(V273,"0"),2))</f>
        <v>2026-10-05</v>
      </c>
      <c r="V273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66" t="s">
        <v>1954</v>
      </c>
      <c r="X273" s="104" t="n">
        <f aca="false">IF(ISNUMBER(FIND("上限",S273)),1,0)</f>
        <v>0</v>
      </c>
      <c r="Y273" s="104" t="n">
        <v>0</v>
      </c>
    </row>
    <row r="274" customFormat="false" ht="15" hidden="false" customHeight="false" outlineLevel="0" collapsed="false">
      <c r="A274" s="53" t="s">
        <v>2240</v>
      </c>
      <c r="B274" s="54" t="s">
        <v>766</v>
      </c>
      <c r="C274" s="60" t="n">
        <f aca="false">IF(ISNUMBER(C21),C21*IF_Util,C21)</f>
        <v>44440350782.9534</v>
      </c>
      <c r="D274" s="60" t="n">
        <f aca="false">IF(ISNUMBER(D21),D21*IF_Util,D21)</f>
        <v>44440350782.9534</v>
      </c>
      <c r="E274" s="60" t="n">
        <f aca="false">IF(ISNUMBER(E21),E21*IF_Util,E21)</f>
        <v>44440350782.9534</v>
      </c>
      <c r="F274" s="60" t="n">
        <f aca="false">IF(ISNUMBER(F21),F21*IF_Util,F21)</f>
        <v>217384136451.368</v>
      </c>
      <c r="G274" s="60" t="n">
        <f aca="false">IF(ISNUMBER(G21),G21*IF_Util,G21)</f>
        <v>217384136451.368</v>
      </c>
      <c r="H274" s="60" t="n">
        <f aca="false">IF(ISNUMBER(H21),H21*IF_Util,H21)</f>
        <v>217384136451.368</v>
      </c>
      <c r="I274" s="60" t="n">
        <f aca="false">IF(ISNUMBER(I21),I21*IF_Util,I21)</f>
        <v>316484351906.383</v>
      </c>
      <c r="J274" s="60" t="n">
        <f aca="false">IF(ISNUMBER(J21),J21*IF_Util,J21)</f>
        <v>316484351906.383</v>
      </c>
      <c r="K274" s="60" t="n">
        <f aca="false">IF(ISNUMBER(K21),K21*IF_Util,K21)</f>
        <v>316484351906.383</v>
      </c>
      <c r="L274" s="60" t="n">
        <f aca="false">IF(ISNUMBER(L21),L21*IF_Util,L21)</f>
        <v>463667040596.067</v>
      </c>
      <c r="M274" s="60" t="n">
        <f aca="false">IF(ISNUMBER(M21),M21*IF_Util,M21)</f>
        <v>463667040596.067</v>
      </c>
      <c r="N274" s="60" t="n">
        <f aca="false">IF(ISNUMBER(N21),N21*IF_Util,N21)</f>
        <v>463667040596.067</v>
      </c>
      <c r="O274" s="60" t="n">
        <f aca="false">IF(ISNUMBER(O21),O21*IF_Util,O21)</f>
        <v>626624227834.433</v>
      </c>
      <c r="P274" s="60" t="n">
        <f aca="false">IF(ISNUMBER(P21),P21*IF_Util,P21)</f>
        <v>626624227834.433</v>
      </c>
      <c r="Q274" s="60" t="n">
        <f aca="false">IF(ISNUMBER(Q21),Q21*IF_Util,Q21)</f>
        <v>626624227834.433</v>
      </c>
      <c r="R27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53" t="str">
        <f aca="false">IF(R274="—","—",IF(R274="A","基準輸入",IF(R274="B","情境、相對比較、反轉門檻","探索")))</f>
        <v>情境、相對比較、反轉門檻</v>
      </c>
      <c r="T274" s="54" t="s">
        <v>1977</v>
      </c>
      <c r="U274" s="53" t="str">
        <f aca="false">IF(V274=0,"—",LEFT(TEXT(V274,"0"),4)&amp;"-"&amp;MID(TEXT(V274,"0"),5,2)&amp;"-"&amp;RIGHT(TEXT(V274,"0"),2))</f>
        <v>2026-10-05</v>
      </c>
      <c r="V27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66" t="s">
        <v>2241</v>
      </c>
      <c r="X274" s="104" t="n">
        <f aca="false">IF(ISNUMBER(FIND("上限",S274)),1,0)</f>
        <v>0</v>
      </c>
      <c r="Y274" s="104" t="n">
        <v>0</v>
      </c>
    </row>
    <row r="275" customFormat="false" ht="15" hidden="false" customHeight="false" outlineLevel="0" collapsed="false">
      <c r="A275" s="53" t="s">
        <v>2242</v>
      </c>
      <c r="B275" s="54" t="s">
        <v>766</v>
      </c>
      <c r="C275" s="55" t="n">
        <f aca="false">Interface_Prod!C21</f>
        <v>50766524969.9116</v>
      </c>
      <c r="D275" s="55" t="n">
        <f aca="false">Interface_Prod!D21</f>
        <v>50766524969.9116</v>
      </c>
      <c r="E275" s="55" t="n">
        <f aca="false">Interface_Prod!E21</f>
        <v>50766524969.9116</v>
      </c>
      <c r="F275" s="55" t="n">
        <f aca="false">Interface_Prod!F21</f>
        <v>283232558336.892</v>
      </c>
      <c r="G275" s="55" t="n">
        <f aca="false">Interface_Prod!G21</f>
        <v>283232558336.892</v>
      </c>
      <c r="H275" s="55" t="n">
        <f aca="false">Interface_Prod!H21</f>
        <v>283232558336.892</v>
      </c>
      <c r="I275" s="55" t="n">
        <f aca="false">Interface_Prod!I21</f>
        <v>412351490441.398</v>
      </c>
      <c r="J275" s="55" t="n">
        <f aca="false">Interface_Prod!J21</f>
        <v>412351490441.398</v>
      </c>
      <c r="K275" s="55" t="n">
        <f aca="false">Interface_Prod!K21</f>
        <v>412351490441.398</v>
      </c>
      <c r="L275" s="55" t="n">
        <f aca="false">Interface_Prod!L21</f>
        <v>608245746199.523</v>
      </c>
      <c r="M275" s="55" t="n">
        <f aca="false">Interface_Prod!M21</f>
        <v>608245746199.523</v>
      </c>
      <c r="N275" s="55" t="n">
        <f aca="false">Interface_Prod!N21</f>
        <v>608245746199.523</v>
      </c>
      <c r="O275" s="55" t="n">
        <f aca="false">Interface_Prod!O21</f>
        <v>823407904790.176</v>
      </c>
      <c r="P275" s="55" t="n">
        <f aca="false">Interface_Prod!P21</f>
        <v>823407904790.176</v>
      </c>
      <c r="Q275" s="55" t="n">
        <f aca="false">Interface_Prod!Q21</f>
        <v>823407904790.176</v>
      </c>
      <c r="R275" s="85" t="str">
        <f aca="false">IF(SUM(Gov_Map!$AG$5:$AG$7,Gov_Map!$AG$69:$AG$88,Gov_Map!$AG$104:$AG$128,Gov_Map!$AG$134:$AG$148,Gov_Map!$AG$179:$AG$192,Gov_Map!$AG$195:$AG$214,Gov_Map!$AG$216:$AG$238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75" s="53" t="str">
        <f aca="false">IF(R275="—","—",IF(R275="A","基準輸入",IF(R275="B","情境、相對比較、反轉門檻","探索")))</f>
        <v>情境、相對比較、反轉門檻</v>
      </c>
      <c r="T275" s="54" t="s">
        <v>2163</v>
      </c>
      <c r="U275" s="53" t="str">
        <f aca="false">IF(V275=0,"—",LEFT(TEXT(V275,"0"),4)&amp;"-"&amp;MID(TEXT(V275,"0"),5,2)&amp;"-"&amp;RIGHT(TEXT(V275,"0"),2))</f>
        <v>2026-10-05</v>
      </c>
      <c r="V275" s="82" t="n">
        <f aca="false">MAX(Gov_Map!$AJ$5:$AJ$7,Gov_Map!$AJ$69:$AJ$88,Gov_Map!$AJ$104:$AJ$128,Gov_Map!$AJ$134:$AJ$148,Gov_Map!$AJ$179:$AJ$192,Gov_Map!$AJ$195:$AJ$214,Gov_Map!$AJ$216:$AJ$238,Gov_Map!$AJ$242:$AJ$245,Gov_Map!$AJ$249:$AJ$254,Gov_Map!$AJ$308:$AJ$319,Gov_Map!$AJ$345:$AJ$359,Gov_Map!$AJ$419:$AJ$420,Gov_Map!$AJ$430,Gov_Map!$AJ$510:$AJ$518,Gov_Map!$AJ$521:$AJ$522,Gov_Map!$AJ$574:$AJ$578,Gov_Map!$AJ$596)</f>
        <v>20261005</v>
      </c>
      <c r="W275" s="66" t="s">
        <v>2243</v>
      </c>
      <c r="X275" s="104" t="n">
        <f aca="false">IF(ISNUMBER(FIND("上限",S275)),1,0)</f>
        <v>0</v>
      </c>
      <c r="Y275" s="104" t="n">
        <v>0</v>
      </c>
    </row>
    <row r="276" customFormat="false" ht="15" hidden="false" customHeight="false" outlineLevel="0" collapsed="false">
      <c r="A276" s="53" t="s">
        <v>2244</v>
      </c>
      <c r="B276" s="54" t="s">
        <v>766</v>
      </c>
      <c r="C276" s="60" t="n">
        <f aca="false">IF(ISNUMBER(C275),C275*1,C275)</f>
        <v>50766524969.9116</v>
      </c>
      <c r="D276" s="60" t="n">
        <f aca="false">IF(ISNUMBER(D275),D275*1,D275)</f>
        <v>50766524969.9116</v>
      </c>
      <c r="E276" s="60" t="n">
        <f aca="false">IF(ISNUMBER(E275),E275*1,E275)</f>
        <v>50766524969.9116</v>
      </c>
      <c r="F276" s="60" t="n">
        <f aca="false">IF(ISNUMBER(F275),F275*1,F275)</f>
        <v>283232558336.892</v>
      </c>
      <c r="G276" s="60" t="n">
        <f aca="false">IF(ISNUMBER(G275),G275*1,G275)</f>
        <v>283232558336.892</v>
      </c>
      <c r="H276" s="60" t="n">
        <f aca="false">IF(ISNUMBER(H275),H275*1,H275)</f>
        <v>283232558336.892</v>
      </c>
      <c r="I276" s="60" t="n">
        <f aca="false">IF(ISNUMBER(I275),I275*1,I275)</f>
        <v>412351490441.398</v>
      </c>
      <c r="J276" s="60" t="n">
        <f aca="false">IF(ISNUMBER(J275),J275*1,J275)</f>
        <v>412351490441.398</v>
      </c>
      <c r="K276" s="60" t="n">
        <f aca="false">IF(ISNUMBER(K275),K275*1,K275)</f>
        <v>412351490441.398</v>
      </c>
      <c r="L276" s="60" t="n">
        <f aca="false">IF(ISNUMBER(L275),L275*1,L275)</f>
        <v>608245746199.523</v>
      </c>
      <c r="M276" s="60" t="n">
        <f aca="false">IF(ISNUMBER(M275),M275*1,M275)</f>
        <v>608245746199.523</v>
      </c>
      <c r="N276" s="60" t="n">
        <f aca="false">IF(ISNUMBER(N275),N275*1,N275)</f>
        <v>608245746199.523</v>
      </c>
      <c r="O276" s="60" t="n">
        <f aca="false">IF(ISNUMBER(O275),O275*1,O275)</f>
        <v>823407904790.176</v>
      </c>
      <c r="P276" s="60" t="n">
        <f aca="false">IF(ISNUMBER(P275),P275*1,P275)</f>
        <v>823407904790.176</v>
      </c>
      <c r="Q276" s="60" t="n">
        <f aca="false">IF(ISNUMBER(Q275),Q275*1,Q275)</f>
        <v>823407904790.176</v>
      </c>
      <c r="R276" s="85" t="str">
        <f aca="false">IF(SUM(Gov_Map!$AG$5:$AG$7,Gov_Map!$AG$69:$AG$88,Gov_Map!$AG$104:$AG$128,Gov_Map!$AG$134:$AG$148,Gov_Map!$AG$179:$AG$192,Gov_Map!$AG$195:$AG$214,Gov_Map!$AG$216:$AG$238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76" s="53" t="str">
        <f aca="false">IF(R276="—","—",IF(R276="A","基準輸入",IF(R276="B","情境、相對比較、反轉門檻","探索")))</f>
        <v>情境、相對比較、反轉門檻</v>
      </c>
      <c r="T276" s="54" t="s">
        <v>2175</v>
      </c>
      <c r="U276" s="53" t="str">
        <f aca="false">IF(V276=0,"—",LEFT(TEXT(V276,"0"),4)&amp;"-"&amp;MID(TEXT(V276,"0"),5,2)&amp;"-"&amp;RIGHT(TEXT(V276,"0"),2))</f>
        <v>2026-10-05</v>
      </c>
      <c r="V276" s="82" t="n">
        <f aca="false">MAX(Gov_Map!$AJ$5:$AJ$7,Gov_Map!$AJ$69:$AJ$88,Gov_Map!$AJ$104:$AJ$128,Gov_Map!$AJ$134:$AJ$148,Gov_Map!$AJ$179:$AJ$192,Gov_Map!$AJ$195:$AJ$214,Gov_Map!$AJ$216:$AJ$238,Gov_Map!$AJ$242:$AJ$245,Gov_Map!$AJ$249:$AJ$254,Gov_Map!$AJ$308:$AJ$319,Gov_Map!$AJ$345:$AJ$359,Gov_Map!$AJ$419:$AJ$420,Gov_Map!$AJ$430,Gov_Map!$AJ$510:$AJ$518,Gov_Map!$AJ$521:$AJ$522,Gov_Map!$AJ$574:$AJ$578,Gov_Map!$AJ$596)</f>
        <v>20261005</v>
      </c>
      <c r="W276" s="66" t="s">
        <v>2243</v>
      </c>
      <c r="X276" s="104" t="n">
        <f aca="false">IF(ISNUMBER(FIND("上限",S276)),1,0)</f>
        <v>0</v>
      </c>
      <c r="Y276" s="104" t="n">
        <v>0</v>
      </c>
    </row>
    <row r="277" customFormat="false" ht="15" hidden="false" customHeight="false" outlineLevel="0" collapsed="false">
      <c r="A277" s="10" t="s">
        <v>2238</v>
      </c>
    </row>
    <row r="278" customFormat="false" ht="15" hidden="false" customHeight="false" outlineLevel="0" collapsed="false">
      <c r="A278" s="53" t="s">
        <v>2245</v>
      </c>
      <c r="B278" s="54" t="s">
        <v>766</v>
      </c>
      <c r="C278" s="60" t="n">
        <f aca="false">C31</f>
        <v>21490429685.4234</v>
      </c>
      <c r="D278" s="60" t="n">
        <f aca="false">D31</f>
        <v>21490429685.4234</v>
      </c>
      <c r="E278" s="60" t="n">
        <f aca="false">E31</f>
        <v>21490429685.4234</v>
      </c>
      <c r="F278" s="60" t="n">
        <f aca="false">F31</f>
        <v>104125401080.667</v>
      </c>
      <c r="G278" s="60" t="n">
        <f aca="false">G31</f>
        <v>104125401080.667</v>
      </c>
      <c r="H278" s="60" t="n">
        <f aca="false">H31</f>
        <v>104125401080.667</v>
      </c>
      <c r="I278" s="60" t="n">
        <f aca="false">I31</f>
        <v>151593674754.548</v>
      </c>
      <c r="J278" s="60" t="n">
        <f aca="false">J31</f>
        <v>151593674754.548</v>
      </c>
      <c r="K278" s="60" t="n">
        <f aca="false">K31</f>
        <v>151593674754.548</v>
      </c>
      <c r="L278" s="60" t="n">
        <f aca="false">L31</f>
        <v>237287338734.99</v>
      </c>
      <c r="M278" s="60" t="n">
        <f aca="false">M31</f>
        <v>237287338734.99</v>
      </c>
      <c r="N278" s="60" t="n">
        <f aca="false">N31</f>
        <v>237287338734.99</v>
      </c>
      <c r="O278" s="60" t="n">
        <f aca="false">O31</f>
        <v>326185670522.351</v>
      </c>
      <c r="P278" s="60" t="n">
        <f aca="false">P31</f>
        <v>326185670522.351</v>
      </c>
      <c r="Q278" s="60" t="n">
        <f aca="false">Q31</f>
        <v>326185670522.351</v>
      </c>
      <c r="R278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53" t="str">
        <f aca="false">IF(R278="—","—",IF(R278="A","基準輸入",IF(R278="B","情境、相對比較、反轉門檻","探索")))</f>
        <v>情境、相對比較、反轉門檻</v>
      </c>
      <c r="T278" s="54" t="s">
        <v>1951</v>
      </c>
      <c r="U278" s="53" t="str">
        <f aca="false">IF(V278=0,"—",LEFT(TEXT(V278,"0"),4)&amp;"-"&amp;MID(TEXT(V278,"0"),5,2)&amp;"-"&amp;RIGHT(TEXT(V278,"0"),2))</f>
        <v>2026-10-05</v>
      </c>
      <c r="V278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66" t="s">
        <v>1954</v>
      </c>
      <c r="X278" s="104" t="n">
        <f aca="false">IF(ISNUMBER(FIND("上限",S278)),1,0)</f>
        <v>0</v>
      </c>
      <c r="Y278" s="104" t="n">
        <v>0</v>
      </c>
    </row>
    <row r="279" customFormat="false" ht="15" hidden="false" customHeight="false" outlineLevel="0" collapsed="false">
      <c r="A279" s="53" t="s">
        <v>2246</v>
      </c>
      <c r="B279" s="54" t="s">
        <v>766</v>
      </c>
      <c r="C279" s="60" t="n">
        <f aca="false">IF(ISNUMBER(C31),C31*IF_Util,C31)</f>
        <v>12894257811.2541</v>
      </c>
      <c r="D279" s="60" t="n">
        <f aca="false">IF(ISNUMBER(D31),D31*IF_Util,D31)</f>
        <v>12894257811.2541</v>
      </c>
      <c r="E279" s="60" t="n">
        <f aca="false">IF(ISNUMBER(E31),E31*IF_Util,E31)</f>
        <v>12894257811.2541</v>
      </c>
      <c r="F279" s="60" t="n">
        <f aca="false">IF(ISNUMBER(F31),F31*IF_Util,F31)</f>
        <v>62475240648.4001</v>
      </c>
      <c r="G279" s="60" t="n">
        <f aca="false">IF(ISNUMBER(G31),G31*IF_Util,G31)</f>
        <v>62475240648.4001</v>
      </c>
      <c r="H279" s="60" t="n">
        <f aca="false">IF(ISNUMBER(H31),H31*IF_Util,H31)</f>
        <v>62475240648.4001</v>
      </c>
      <c r="I279" s="60" t="n">
        <f aca="false">IF(ISNUMBER(I31),I31*IF_Util,I31)</f>
        <v>90956204852.7288</v>
      </c>
      <c r="J279" s="60" t="n">
        <f aca="false">IF(ISNUMBER(J31),J31*IF_Util,J31)</f>
        <v>90956204852.7288</v>
      </c>
      <c r="K279" s="60" t="n">
        <f aca="false">IF(ISNUMBER(K31),K31*IF_Util,K31)</f>
        <v>90956204852.7288</v>
      </c>
      <c r="L279" s="60" t="n">
        <f aca="false">IF(ISNUMBER(L31),L31*IF_Util,L31)</f>
        <v>142372403240.994</v>
      </c>
      <c r="M279" s="60" t="n">
        <f aca="false">IF(ISNUMBER(M31),M31*IF_Util,M31)</f>
        <v>142372403240.994</v>
      </c>
      <c r="N279" s="60" t="n">
        <f aca="false">IF(ISNUMBER(N31),N31*IF_Util,N31)</f>
        <v>142372403240.994</v>
      </c>
      <c r="O279" s="60" t="n">
        <f aca="false">IF(ISNUMBER(O31),O31*IF_Util,O31)</f>
        <v>195711402313.41</v>
      </c>
      <c r="P279" s="60" t="n">
        <f aca="false">IF(ISNUMBER(P31),P31*IF_Util,P31)</f>
        <v>195711402313.41</v>
      </c>
      <c r="Q279" s="60" t="n">
        <f aca="false">IF(ISNUMBER(Q31),Q31*IF_Util,Q31)</f>
        <v>195711402313.41</v>
      </c>
      <c r="R279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53" t="str">
        <f aca="false">IF(R279="—","—",IF(R279="A","基準輸入",IF(R279="B","情境、相對比較、反轉門檻","探索")))</f>
        <v>情境、相對比較、反轉門檻</v>
      </c>
      <c r="T279" s="54" t="s">
        <v>1977</v>
      </c>
      <c r="U279" s="53" t="str">
        <f aca="false">IF(V279=0,"—",LEFT(TEXT(V279,"0"),4)&amp;"-"&amp;MID(TEXT(V279,"0"),5,2)&amp;"-"&amp;RIGHT(TEXT(V279,"0"),2))</f>
        <v>2026-10-05</v>
      </c>
      <c r="V279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66" t="s">
        <v>2241</v>
      </c>
      <c r="X279" s="104" t="n">
        <f aca="false">IF(ISNUMBER(FIND("上限",S279)),1,0)</f>
        <v>0</v>
      </c>
      <c r="Y279" s="104" t="n">
        <v>0</v>
      </c>
    </row>
    <row r="280" customFormat="false" ht="15" hidden="false" customHeight="false" outlineLevel="0" collapsed="false">
      <c r="A280" s="53" t="s">
        <v>2247</v>
      </c>
      <c r="B280" s="54" t="s">
        <v>766</v>
      </c>
      <c r="C280" s="55" t="n">
        <f aca="false">Interface_Prod!C31</f>
        <v>15694514740.0473</v>
      </c>
      <c r="D280" s="55" t="n">
        <f aca="false">Interface_Prod!D31</f>
        <v>15694514740.0473</v>
      </c>
      <c r="E280" s="55" t="n">
        <f aca="false">Interface_Prod!E31</f>
        <v>15694514740.0473</v>
      </c>
      <c r="F280" s="55" t="n">
        <f aca="false">Interface_Prod!F31</f>
        <v>83122186024.2059</v>
      </c>
      <c r="G280" s="55" t="n">
        <f aca="false">Interface_Prod!G31</f>
        <v>83122186024.2059</v>
      </c>
      <c r="H280" s="55" t="n">
        <f aca="false">Interface_Prod!H31</f>
        <v>83122186024.2059</v>
      </c>
      <c r="I280" s="55" t="n">
        <f aca="false">Interface_Prod!I31</f>
        <v>121015597560.854</v>
      </c>
      <c r="J280" s="55" t="n">
        <f aca="false">Interface_Prod!J31</f>
        <v>121015597560.854</v>
      </c>
      <c r="K280" s="55" t="n">
        <f aca="false">Interface_Prod!K31</f>
        <v>121015597560.854</v>
      </c>
      <c r="L280" s="55" t="n">
        <f aca="false">Interface_Prod!L31</f>
        <v>191644052868.822</v>
      </c>
      <c r="M280" s="55" t="n">
        <f aca="false">Interface_Prod!M31</f>
        <v>191644052868.822</v>
      </c>
      <c r="N280" s="55" t="n">
        <f aca="false">Interface_Prod!N31</f>
        <v>191644052868.822</v>
      </c>
      <c r="O280" s="55" t="n">
        <f aca="false">Interface_Prod!O31</f>
        <v>264164840872.129</v>
      </c>
      <c r="P280" s="55" t="n">
        <f aca="false">Interface_Prod!P31</f>
        <v>264164840872.129</v>
      </c>
      <c r="Q280" s="55" t="n">
        <f aca="false">Interface_Prod!Q31</f>
        <v>264164840872.129</v>
      </c>
      <c r="R280" s="85" t="str">
        <f aca="false">IF(SUM(Gov_Map!$AG$5:$AG$7,Gov_Map!$AG$69:$AG$88,Gov_Map!$AG$104:$AG$128,Gov_Map!$AG$134:$AG$148,Gov_Map!$AG$179:$AG$192,Gov_Map!$AG$195:$AG$214,Gov_Map!$AG$216:$AG$238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0" s="53" t="str">
        <f aca="false">IF(R280="—","—",IF(R280="A","基準輸入",IF(R280="B","情境、相對比較、反轉門檻","探索")))</f>
        <v>情境、相對比較、反轉門檻</v>
      </c>
      <c r="T280" s="54" t="s">
        <v>2163</v>
      </c>
      <c r="U280" s="53" t="str">
        <f aca="false">IF(V280=0,"—",LEFT(TEXT(V280,"0"),4)&amp;"-"&amp;MID(TEXT(V280,"0"),5,2)&amp;"-"&amp;RIGHT(TEXT(V280,"0"),2))</f>
        <v>2026-10-05</v>
      </c>
      <c r="V280" s="82" t="n">
        <f aca="false">MAX(Gov_Map!$AJ$5:$AJ$7,Gov_Map!$AJ$69:$AJ$88,Gov_Map!$AJ$104:$AJ$128,Gov_Map!$AJ$134:$AJ$148,Gov_Map!$AJ$179:$AJ$192,Gov_Map!$AJ$195:$AJ$214,Gov_Map!$AJ$216:$AJ$238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0" s="66" t="s">
        <v>2243</v>
      </c>
      <c r="X280" s="104" t="n">
        <f aca="false">IF(ISNUMBER(FIND("上限",S280)),1,0)</f>
        <v>0</v>
      </c>
      <c r="Y280" s="104" t="n">
        <v>0</v>
      </c>
    </row>
    <row r="281" customFormat="false" ht="15" hidden="false" customHeight="false" outlineLevel="0" collapsed="false">
      <c r="A281" s="53" t="s">
        <v>2248</v>
      </c>
      <c r="B281" s="54" t="s">
        <v>766</v>
      </c>
      <c r="C281" s="60" t="n">
        <f aca="false">IF(ISNUMBER(C280),C280*1,C280)</f>
        <v>15694514740.0473</v>
      </c>
      <c r="D281" s="60" t="n">
        <f aca="false">IF(ISNUMBER(D280),D280*1,D280)</f>
        <v>15694514740.0473</v>
      </c>
      <c r="E281" s="60" t="n">
        <f aca="false">IF(ISNUMBER(E280),E280*1,E280)</f>
        <v>15694514740.0473</v>
      </c>
      <c r="F281" s="60" t="n">
        <f aca="false">IF(ISNUMBER(F280),F280*1,F280)</f>
        <v>83122186024.2059</v>
      </c>
      <c r="G281" s="60" t="n">
        <f aca="false">IF(ISNUMBER(G280),G280*1,G280)</f>
        <v>83122186024.2059</v>
      </c>
      <c r="H281" s="60" t="n">
        <f aca="false">IF(ISNUMBER(H280),H280*1,H280)</f>
        <v>83122186024.2059</v>
      </c>
      <c r="I281" s="60" t="n">
        <f aca="false">IF(ISNUMBER(I280),I280*1,I280)</f>
        <v>121015597560.854</v>
      </c>
      <c r="J281" s="60" t="n">
        <f aca="false">IF(ISNUMBER(J280),J280*1,J280)</f>
        <v>121015597560.854</v>
      </c>
      <c r="K281" s="60" t="n">
        <f aca="false">IF(ISNUMBER(K280),K280*1,K280)</f>
        <v>121015597560.854</v>
      </c>
      <c r="L281" s="60" t="n">
        <f aca="false">IF(ISNUMBER(L280),L280*1,L280)</f>
        <v>191644052868.822</v>
      </c>
      <c r="M281" s="60" t="n">
        <f aca="false">IF(ISNUMBER(M280),M280*1,M280)</f>
        <v>191644052868.822</v>
      </c>
      <c r="N281" s="60" t="n">
        <f aca="false">IF(ISNUMBER(N280),N280*1,N280)</f>
        <v>191644052868.822</v>
      </c>
      <c r="O281" s="60" t="n">
        <f aca="false">IF(ISNUMBER(O280),O280*1,O280)</f>
        <v>264164840872.129</v>
      </c>
      <c r="P281" s="60" t="n">
        <f aca="false">IF(ISNUMBER(P280),P280*1,P280)</f>
        <v>264164840872.129</v>
      </c>
      <c r="Q281" s="60" t="n">
        <f aca="false">IF(ISNUMBER(Q280),Q280*1,Q280)</f>
        <v>264164840872.129</v>
      </c>
      <c r="R281" s="85" t="str">
        <f aca="false">IF(SUM(Gov_Map!$AG$5:$AG$7,Gov_Map!$AG$69:$AG$88,Gov_Map!$AG$104:$AG$128,Gov_Map!$AG$134:$AG$148,Gov_Map!$AG$179:$AG$192,Gov_Map!$AG$195:$AG$214,Gov_Map!$AG$216:$AG$238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1" s="53" t="str">
        <f aca="false">IF(R281="—","—",IF(R281="A","基準輸入",IF(R281="B","情境、相對比較、反轉門檻","探索")))</f>
        <v>情境、相對比較、反轉門檻</v>
      </c>
      <c r="T281" s="54" t="s">
        <v>2175</v>
      </c>
      <c r="U281" s="53" t="str">
        <f aca="false">IF(V281=0,"—",LEFT(TEXT(V281,"0"),4)&amp;"-"&amp;MID(TEXT(V281,"0"),5,2)&amp;"-"&amp;RIGHT(TEXT(V281,"0"),2))</f>
        <v>2026-10-05</v>
      </c>
      <c r="V281" s="82" t="n">
        <f aca="false">MAX(Gov_Map!$AJ$5:$AJ$7,Gov_Map!$AJ$69:$AJ$88,Gov_Map!$AJ$104:$AJ$128,Gov_Map!$AJ$134:$AJ$148,Gov_Map!$AJ$179:$AJ$192,Gov_Map!$AJ$195:$AJ$214,Gov_Map!$AJ$216:$AJ$238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1" s="66" t="s">
        <v>2243</v>
      </c>
      <c r="X281" s="104" t="n">
        <f aca="false">IF(ISNUMBER(FIND("上限",S281)),1,0)</f>
        <v>0</v>
      </c>
      <c r="Y281" s="104" t="n">
        <v>0</v>
      </c>
    </row>
    <row r="282" customFormat="false" ht="15" hidden="false" customHeight="false" outlineLevel="0" collapsed="false">
      <c r="A282" s="10" t="s">
        <v>2238</v>
      </c>
    </row>
    <row r="283" customFormat="false" ht="15" hidden="false" customHeight="false" outlineLevel="0" collapsed="false">
      <c r="A283" s="53" t="s">
        <v>2249</v>
      </c>
      <c r="B283" s="54" t="s">
        <v>766</v>
      </c>
      <c r="C283" s="60" t="n">
        <f aca="false">C41</f>
        <v>3876518295.93805</v>
      </c>
      <c r="D283" s="60" t="n">
        <f aca="false">D41</f>
        <v>3876518295.93805</v>
      </c>
      <c r="E283" s="60" t="n">
        <f aca="false">E41</f>
        <v>3876518295.93805</v>
      </c>
      <c r="F283" s="60" t="n">
        <f aca="false">F41</f>
        <v>20041838664.2467</v>
      </c>
      <c r="G283" s="60" t="n">
        <f aca="false">G41</f>
        <v>20041838664.2467</v>
      </c>
      <c r="H283" s="60" t="n">
        <f aca="false">H41</f>
        <v>20041838664.2467</v>
      </c>
      <c r="I283" s="60" t="n">
        <f aca="false">I41</f>
        <v>24234237528.7831</v>
      </c>
      <c r="J283" s="60" t="n">
        <f aca="false">J41</f>
        <v>24234237528.7831</v>
      </c>
      <c r="K283" s="60" t="n">
        <f aca="false">K41</f>
        <v>24234237528.7831</v>
      </c>
      <c r="L283" s="60" t="n">
        <f aca="false">L41</f>
        <v>51167890551.5595</v>
      </c>
      <c r="M283" s="60" t="n">
        <f aca="false">M41</f>
        <v>51167890551.5595</v>
      </c>
      <c r="N283" s="60" t="n">
        <f aca="false">N41</f>
        <v>51167890551.5595</v>
      </c>
      <c r="O283" s="60" t="n">
        <f aca="false">O41</f>
        <v>74400955991.7707</v>
      </c>
      <c r="P283" s="60" t="n">
        <f aca="false">P41</f>
        <v>74400955991.7707</v>
      </c>
      <c r="Q283" s="60" t="n">
        <f aca="false">Q41</f>
        <v>74400955991.7707</v>
      </c>
      <c r="R283" s="85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53" t="str">
        <f aca="false">IF(R283="—","—",IF(R283="A","基準輸入",IF(R283="B","情境、相對比較、反轉門檻","探索")))</f>
        <v>情境、相對比較、反轉門檻</v>
      </c>
      <c r="T283" s="54" t="s">
        <v>1951</v>
      </c>
      <c r="U283" s="53" t="str">
        <f aca="false">IF(V283=0,"—",LEFT(TEXT(V283,"0"),4)&amp;"-"&amp;MID(TEXT(V283,"0"),5,2)&amp;"-"&amp;RIGHT(TEXT(V283,"0"),2))</f>
        <v>2026-10-05</v>
      </c>
      <c r="V283" s="82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66" t="s">
        <v>1954</v>
      </c>
      <c r="X283" s="104" t="n">
        <f aca="false">IF(ISNUMBER(FIND("上限",S283)),1,0)</f>
        <v>0</v>
      </c>
      <c r="Y283" s="104" t="n">
        <v>0</v>
      </c>
    </row>
    <row r="284" customFormat="false" ht="15" hidden="false" customHeight="false" outlineLevel="0" collapsed="false">
      <c r="A284" s="53" t="s">
        <v>2250</v>
      </c>
      <c r="B284" s="54" t="s">
        <v>766</v>
      </c>
      <c r="C284" s="60" t="n">
        <f aca="false">IF(ISNUMBER(C41),C41*IF_Util,C41)</f>
        <v>2325910977.56283</v>
      </c>
      <c r="D284" s="60" t="n">
        <f aca="false">IF(ISNUMBER(D41),D41*IF_Util,D41)</f>
        <v>2325910977.56283</v>
      </c>
      <c r="E284" s="60" t="n">
        <f aca="false">IF(ISNUMBER(E41),E41*IF_Util,E41)</f>
        <v>2325910977.56283</v>
      </c>
      <c r="F284" s="60" t="n">
        <f aca="false">IF(ISNUMBER(F41),F41*IF_Util,F41)</f>
        <v>12025103198.548</v>
      </c>
      <c r="G284" s="60" t="n">
        <f aca="false">IF(ISNUMBER(G41),G41*IF_Util,G41)</f>
        <v>12025103198.548</v>
      </c>
      <c r="H284" s="60" t="n">
        <f aca="false">IF(ISNUMBER(H41),H41*IF_Util,H41)</f>
        <v>12025103198.548</v>
      </c>
      <c r="I284" s="60" t="n">
        <f aca="false">IF(ISNUMBER(I41),I41*IF_Util,I41)</f>
        <v>14540542517.2698</v>
      </c>
      <c r="J284" s="60" t="n">
        <f aca="false">IF(ISNUMBER(J41),J41*IF_Util,J41)</f>
        <v>14540542517.2698</v>
      </c>
      <c r="K284" s="60" t="n">
        <f aca="false">IF(ISNUMBER(K41),K41*IF_Util,K41)</f>
        <v>14540542517.2698</v>
      </c>
      <c r="L284" s="60" t="n">
        <f aca="false">IF(ISNUMBER(L41),L41*IF_Util,L41)</f>
        <v>30700734330.9357</v>
      </c>
      <c r="M284" s="60" t="n">
        <f aca="false">IF(ISNUMBER(M41),M41*IF_Util,M41)</f>
        <v>30700734330.9357</v>
      </c>
      <c r="N284" s="60" t="n">
        <f aca="false">IF(ISNUMBER(N41),N41*IF_Util,N41)</f>
        <v>30700734330.9357</v>
      </c>
      <c r="O284" s="60" t="n">
        <f aca="false">IF(ISNUMBER(O41),O41*IF_Util,O41)</f>
        <v>44640573595.0624</v>
      </c>
      <c r="P284" s="60" t="n">
        <f aca="false">IF(ISNUMBER(P41),P41*IF_Util,P41)</f>
        <v>44640573595.0624</v>
      </c>
      <c r="Q284" s="60" t="n">
        <f aca="false">IF(ISNUMBER(Q41),Q41*IF_Util,Q41)</f>
        <v>44640573595.0624</v>
      </c>
      <c r="R284" s="85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53" t="str">
        <f aca="false">IF(R284="—","—",IF(R284="A","基準輸入",IF(R284="B","情境、相對比較、反轉門檻","探索")))</f>
        <v>情境、相對比較、反轉門檻</v>
      </c>
      <c r="T284" s="54" t="s">
        <v>1977</v>
      </c>
      <c r="U284" s="53" t="str">
        <f aca="false">IF(V284=0,"—",LEFT(TEXT(V284,"0"),4)&amp;"-"&amp;MID(TEXT(V284,"0"),5,2)&amp;"-"&amp;RIGHT(TEXT(V284,"0"),2))</f>
        <v>2026-10-05</v>
      </c>
      <c r="V284" s="82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66" t="s">
        <v>2241</v>
      </c>
      <c r="X284" s="104" t="n">
        <f aca="false">IF(ISNUMBER(FIND("上限",S284)),1,0)</f>
        <v>0</v>
      </c>
      <c r="Y284" s="104" t="n">
        <v>0</v>
      </c>
    </row>
    <row r="285" customFormat="false" ht="15" hidden="false" customHeight="false" outlineLevel="0" collapsed="false">
      <c r="A285" s="53" t="s">
        <v>2251</v>
      </c>
      <c r="B285" s="54" t="s">
        <v>766</v>
      </c>
      <c r="C285" s="55" t="n">
        <f aca="false">Interface_Prod!C41</f>
        <v>1885135732.48487</v>
      </c>
      <c r="D285" s="55" t="n">
        <f aca="false">Interface_Prod!D41</f>
        <v>1885135732.48487</v>
      </c>
      <c r="E285" s="55" t="n">
        <f aca="false">Interface_Prod!E41</f>
        <v>1885135732.48487</v>
      </c>
      <c r="F285" s="55" t="n">
        <f aca="false">Interface_Prod!F41</f>
        <v>14685984375.9429</v>
      </c>
      <c r="G285" s="55" t="n">
        <f aca="false">Interface_Prod!G41</f>
        <v>14685984375.9429</v>
      </c>
      <c r="H285" s="55" t="n">
        <f aca="false">Interface_Prod!H41</f>
        <v>14685984375.9429</v>
      </c>
      <c r="I285" s="55" t="n">
        <f aca="false">Interface_Prod!I41</f>
        <v>16941591354.3218</v>
      </c>
      <c r="J285" s="55" t="n">
        <f aca="false">Interface_Prod!J41</f>
        <v>16941591354.3218</v>
      </c>
      <c r="K285" s="55" t="n">
        <f aca="false">Interface_Prod!K41</f>
        <v>16941591354.3218</v>
      </c>
      <c r="L285" s="55" t="n">
        <f aca="false">Interface_Prod!L41</f>
        <v>39187225969.8546</v>
      </c>
      <c r="M285" s="55" t="n">
        <f aca="false">Interface_Prod!M41</f>
        <v>39187225969.8546</v>
      </c>
      <c r="N285" s="55" t="n">
        <f aca="false">Interface_Prod!N41</f>
        <v>39187225969.8546</v>
      </c>
      <c r="O285" s="55" t="n">
        <f aca="false">Interface_Prod!O41</f>
        <v>57760514272.72</v>
      </c>
      <c r="P285" s="55" t="n">
        <f aca="false">Interface_Prod!P41</f>
        <v>57760514272.72</v>
      </c>
      <c r="Q285" s="55" t="n">
        <f aca="false">Interface_Prod!Q41</f>
        <v>57760514272.72</v>
      </c>
      <c r="R285" s="85" t="str">
        <f aca="false">IF(SUM(Gov_Map!$AG$5:$AG$7,Gov_Map!$AG$69:$AG$88,Gov_Map!$AG$104:$AG$128,Gov_Map!$AG$134:$AG$148,Gov_Map!$AG$179:$AG$192,Gov_Map!$AG$195:$AG$214,Gov_Map!$AG$216:$AG$238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5" s="53" t="str">
        <f aca="false">IF(R285="—","—",IF(R285="A","基準輸入",IF(R285="B","情境、相對比較、反轉門檻","探索")))</f>
        <v>情境、相對比較、反轉門檻</v>
      </c>
      <c r="T285" s="54" t="s">
        <v>2163</v>
      </c>
      <c r="U285" s="53" t="str">
        <f aca="false">IF(V285=0,"—",LEFT(TEXT(V285,"0"),4)&amp;"-"&amp;MID(TEXT(V285,"0"),5,2)&amp;"-"&amp;RIGHT(TEXT(V285,"0"),2))</f>
        <v>2026-10-05</v>
      </c>
      <c r="V285" s="82" t="n">
        <f aca="false">MAX(Gov_Map!$AJ$5:$AJ$7,Gov_Map!$AJ$69:$AJ$88,Gov_Map!$AJ$104:$AJ$128,Gov_Map!$AJ$134:$AJ$148,Gov_Map!$AJ$179:$AJ$192,Gov_Map!$AJ$195:$AJ$214,Gov_Map!$AJ$216:$AJ$238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5" s="66" t="s">
        <v>2243</v>
      </c>
      <c r="X285" s="104" t="n">
        <f aca="false">IF(ISNUMBER(FIND("上限",S285)),1,0)</f>
        <v>0</v>
      </c>
      <c r="Y285" s="104" t="n">
        <v>0</v>
      </c>
    </row>
    <row r="286" customFormat="false" ht="15" hidden="false" customHeight="false" outlineLevel="0" collapsed="false">
      <c r="A286" s="53" t="s">
        <v>2252</v>
      </c>
      <c r="B286" s="54" t="s">
        <v>766</v>
      </c>
      <c r="C286" s="60" t="n">
        <f aca="false">IF(ISNUMBER(C285),C285*1,C285)</f>
        <v>1885135732.48487</v>
      </c>
      <c r="D286" s="60" t="n">
        <f aca="false">IF(ISNUMBER(D285),D285*1,D285)</f>
        <v>1885135732.48487</v>
      </c>
      <c r="E286" s="60" t="n">
        <f aca="false">IF(ISNUMBER(E285),E285*1,E285)</f>
        <v>1885135732.48487</v>
      </c>
      <c r="F286" s="60" t="n">
        <f aca="false">IF(ISNUMBER(F285),F285*1,F285)</f>
        <v>14685984375.9429</v>
      </c>
      <c r="G286" s="60" t="n">
        <f aca="false">IF(ISNUMBER(G285),G285*1,G285)</f>
        <v>14685984375.9429</v>
      </c>
      <c r="H286" s="60" t="n">
        <f aca="false">IF(ISNUMBER(H285),H285*1,H285)</f>
        <v>14685984375.9429</v>
      </c>
      <c r="I286" s="60" t="n">
        <f aca="false">IF(ISNUMBER(I285),I285*1,I285)</f>
        <v>16941591354.3218</v>
      </c>
      <c r="J286" s="60" t="n">
        <f aca="false">IF(ISNUMBER(J285),J285*1,J285)</f>
        <v>16941591354.3218</v>
      </c>
      <c r="K286" s="60" t="n">
        <f aca="false">IF(ISNUMBER(K285),K285*1,K285)</f>
        <v>16941591354.3218</v>
      </c>
      <c r="L286" s="60" t="n">
        <f aca="false">IF(ISNUMBER(L285),L285*1,L285)</f>
        <v>39187225969.8546</v>
      </c>
      <c r="M286" s="60" t="n">
        <f aca="false">IF(ISNUMBER(M285),M285*1,M285)</f>
        <v>39187225969.8546</v>
      </c>
      <c r="N286" s="60" t="n">
        <f aca="false">IF(ISNUMBER(N285),N285*1,N285)</f>
        <v>39187225969.8546</v>
      </c>
      <c r="O286" s="60" t="n">
        <f aca="false">IF(ISNUMBER(O285),O285*1,O285)</f>
        <v>57760514272.72</v>
      </c>
      <c r="P286" s="60" t="n">
        <f aca="false">IF(ISNUMBER(P285),P285*1,P285)</f>
        <v>57760514272.72</v>
      </c>
      <c r="Q286" s="60" t="n">
        <f aca="false">IF(ISNUMBER(Q285),Q285*1,Q285)</f>
        <v>57760514272.72</v>
      </c>
      <c r="R286" s="85" t="str">
        <f aca="false">IF(SUM(Gov_Map!$AG$5:$AG$7,Gov_Map!$AG$69:$AG$88,Gov_Map!$AG$104:$AG$128,Gov_Map!$AG$134:$AG$148,Gov_Map!$AG$179:$AG$192,Gov_Map!$AG$195:$AG$214,Gov_Map!$AG$216:$AG$238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6" s="53" t="str">
        <f aca="false">IF(R286="—","—",IF(R286="A","基準輸入",IF(R286="B","情境、相對比較、反轉門檻","探索")))</f>
        <v>情境、相對比較、反轉門檻</v>
      </c>
      <c r="T286" s="54" t="s">
        <v>2175</v>
      </c>
      <c r="U286" s="53" t="str">
        <f aca="false">IF(V286=0,"—",LEFT(TEXT(V286,"0"),4)&amp;"-"&amp;MID(TEXT(V286,"0"),5,2)&amp;"-"&amp;RIGHT(TEXT(V286,"0"),2))</f>
        <v>2026-10-05</v>
      </c>
      <c r="V286" s="82" t="n">
        <f aca="false">MAX(Gov_Map!$AJ$5:$AJ$7,Gov_Map!$AJ$69:$AJ$88,Gov_Map!$AJ$104:$AJ$128,Gov_Map!$AJ$134:$AJ$148,Gov_Map!$AJ$179:$AJ$192,Gov_Map!$AJ$195:$AJ$214,Gov_Map!$AJ$216:$AJ$238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6" s="66" t="s">
        <v>2243</v>
      </c>
      <c r="X286" s="104" t="n">
        <f aca="false">IF(ISNUMBER(FIND("上限",S286)),1,0)</f>
        <v>0</v>
      </c>
      <c r="Y286" s="104" t="n">
        <v>0</v>
      </c>
    </row>
    <row r="288" customFormat="false" ht="15" hidden="false" customHeight="false" outlineLevel="0" collapsed="false">
      <c r="A288" s="10" t="s">
        <v>2253</v>
      </c>
    </row>
    <row r="289" customFormat="false" ht="15" hidden="false" customHeight="false" outlineLevel="0" collapsed="false">
      <c r="A289" s="51" t="s">
        <v>2254</v>
      </c>
      <c r="C289" s="104" t="n">
        <f aca="false">IF(AND(ISNUMBER(C234),ISNUMBER(C101)),IF(ABS(C234-C101)&lt;=0.000000001,0,1),IF(AND(NOT(ISNUMBER(C234)),NOT(ISNUMBER(C101))),IF(C234=C101,0,1),1))</f>
        <v>0</v>
      </c>
      <c r="D289" s="104" t="n">
        <f aca="false">IF(AND(ISNUMBER(D234),ISNUMBER(D101)),IF(ABS(D234-D101)&lt;=0.000000001,0,1),IF(AND(NOT(ISNUMBER(D234)),NOT(ISNUMBER(D101))),IF(D234=D101,0,1),1))</f>
        <v>0</v>
      </c>
      <c r="E289" s="104" t="n">
        <f aca="false">IF(AND(ISNUMBER(E234),ISNUMBER(E101)),IF(ABS(E234-E101)&lt;=0.000000001,0,1),IF(AND(NOT(ISNUMBER(E234)),NOT(ISNUMBER(E101))),IF(E234=E101,0,1),1))</f>
        <v>0</v>
      </c>
      <c r="F289" s="104" t="n">
        <f aca="false">IF(AND(ISNUMBER(F234),ISNUMBER(F101)),IF(ABS(F234-F101)&lt;=0.000000001,0,1),IF(AND(NOT(ISNUMBER(F234)),NOT(ISNUMBER(F101))),IF(F234=F101,0,1),1))</f>
        <v>0</v>
      </c>
      <c r="G289" s="104" t="n">
        <f aca="false">IF(AND(ISNUMBER(G234),ISNUMBER(G101)),IF(ABS(G234-G101)&lt;=0.000000001,0,1),IF(AND(NOT(ISNUMBER(G234)),NOT(ISNUMBER(G101))),IF(G234=G101,0,1),1))</f>
        <v>0</v>
      </c>
      <c r="H289" s="104" t="n">
        <f aca="false">IF(AND(ISNUMBER(H234),ISNUMBER(H101)),IF(ABS(H234-H101)&lt;=0.000000001,0,1),IF(AND(NOT(ISNUMBER(H234)),NOT(ISNUMBER(H101))),IF(H234=H101,0,1),1))</f>
        <v>0</v>
      </c>
      <c r="I289" s="104" t="n">
        <f aca="false">IF(AND(ISNUMBER(I234),ISNUMBER(I101)),IF(ABS(I234-I101)&lt;=0.000000001,0,1),IF(AND(NOT(ISNUMBER(I234)),NOT(ISNUMBER(I101))),IF(I234=I101,0,1),1))</f>
        <v>0</v>
      </c>
      <c r="J289" s="104" t="n">
        <f aca="false">IF(AND(ISNUMBER(J234),ISNUMBER(J101)),IF(ABS(J234-J101)&lt;=0.000000001,0,1),IF(AND(NOT(ISNUMBER(J234)),NOT(ISNUMBER(J101))),IF(J234=J101,0,1),1))</f>
        <v>0</v>
      </c>
      <c r="K289" s="104" t="n">
        <f aca="false">IF(AND(ISNUMBER(K234),ISNUMBER(K101)),IF(ABS(K234-K101)&lt;=0.000000001,0,1),IF(AND(NOT(ISNUMBER(K234)),NOT(ISNUMBER(K101))),IF(K234=K101,0,1),1))</f>
        <v>0</v>
      </c>
      <c r="L289" s="104" t="n">
        <f aca="false">IF(AND(ISNUMBER(L234),ISNUMBER(L101)),IF(ABS(L234-L101)&lt;=0.000000001,0,1),IF(AND(NOT(ISNUMBER(L234)),NOT(ISNUMBER(L101))),IF(L234=L101,0,1),1))</f>
        <v>0</v>
      </c>
      <c r="M289" s="104" t="n">
        <f aca="false">IF(AND(ISNUMBER(M234),ISNUMBER(M101)),IF(ABS(M234-M101)&lt;=0.000000001,0,1),IF(AND(NOT(ISNUMBER(M234)),NOT(ISNUMBER(M101))),IF(M234=M101,0,1),1))</f>
        <v>0</v>
      </c>
      <c r="N289" s="104" t="n">
        <f aca="false">IF(AND(ISNUMBER(N234),ISNUMBER(N101)),IF(ABS(N234-N101)&lt;=0.000000001,0,1),IF(AND(NOT(ISNUMBER(N234)),NOT(ISNUMBER(N101))),IF(N234=N101,0,1),1))</f>
        <v>0</v>
      </c>
      <c r="O289" s="104" t="n">
        <f aca="false">IF(AND(ISNUMBER(O234),ISNUMBER(O101)),IF(ABS(O234-O101)&lt;=0.000000001,0,1),IF(AND(NOT(ISNUMBER(O234)),NOT(ISNUMBER(O101))),IF(O234=O101,0,1),1))</f>
        <v>0</v>
      </c>
      <c r="P289" s="104" t="n">
        <f aca="false">IF(AND(ISNUMBER(P234),ISNUMBER(P101)),IF(ABS(P234-P101)&lt;=0.000000001,0,1),IF(AND(NOT(ISNUMBER(P234)),NOT(ISNUMBER(P101))),IF(P234=P101,0,1),1))</f>
        <v>0</v>
      </c>
      <c r="Q289" s="104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false" outlineLevel="0" collapsed="false">
      <c r="A290" s="51" t="s">
        <v>2255</v>
      </c>
      <c r="C290" s="104" t="n">
        <f aca="false">IF(AND(ISNUMBER(C235),ISNUMBER(C207)),IF(ABS(C235-C207)&lt;=0.000000001,0,1),IF(AND(NOT(ISNUMBER(C235)),NOT(ISNUMBER(C207))),IF(C235=C207,0,1),1))</f>
        <v>0</v>
      </c>
      <c r="D290" s="104" t="n">
        <f aca="false">IF(AND(ISNUMBER(D235),ISNUMBER(D207)),IF(ABS(D235-D207)&lt;=0.000000001,0,1),IF(AND(NOT(ISNUMBER(D235)),NOT(ISNUMBER(D207))),IF(D235=D207,0,1),1))</f>
        <v>0</v>
      </c>
      <c r="E290" s="104" t="n">
        <f aca="false">IF(AND(ISNUMBER(E235),ISNUMBER(E207)),IF(ABS(E235-E207)&lt;=0.000000001,0,1),IF(AND(NOT(ISNUMBER(E235)),NOT(ISNUMBER(E207))),IF(E235=E207,0,1),1))</f>
        <v>0</v>
      </c>
      <c r="F290" s="104" t="n">
        <f aca="false">IF(AND(ISNUMBER(F235),ISNUMBER(F207)),IF(ABS(F235-F207)&lt;=0.000000001,0,1),IF(AND(NOT(ISNUMBER(F235)),NOT(ISNUMBER(F207))),IF(F235=F207,0,1),1))</f>
        <v>0</v>
      </c>
      <c r="G290" s="104" t="n">
        <f aca="false">IF(AND(ISNUMBER(G235),ISNUMBER(G207)),IF(ABS(G235-G207)&lt;=0.000000001,0,1),IF(AND(NOT(ISNUMBER(G235)),NOT(ISNUMBER(G207))),IF(G235=G207,0,1),1))</f>
        <v>0</v>
      </c>
      <c r="H290" s="104" t="n">
        <f aca="false">IF(AND(ISNUMBER(H235),ISNUMBER(H207)),IF(ABS(H235-H207)&lt;=0.000000001,0,1),IF(AND(NOT(ISNUMBER(H235)),NOT(ISNUMBER(H207))),IF(H235=H207,0,1),1))</f>
        <v>0</v>
      </c>
      <c r="I290" s="104" t="n">
        <f aca="false">IF(AND(ISNUMBER(I235),ISNUMBER(I207)),IF(ABS(I235-I207)&lt;=0.000000001,0,1),IF(AND(NOT(ISNUMBER(I235)),NOT(ISNUMBER(I207))),IF(I235=I207,0,1),1))</f>
        <v>0</v>
      </c>
      <c r="J290" s="104" t="n">
        <f aca="false">IF(AND(ISNUMBER(J235),ISNUMBER(J207)),IF(ABS(J235-J207)&lt;=0.000000001,0,1),IF(AND(NOT(ISNUMBER(J235)),NOT(ISNUMBER(J207))),IF(J235=J207,0,1),1))</f>
        <v>0</v>
      </c>
      <c r="K290" s="104" t="n">
        <f aca="false">IF(AND(ISNUMBER(K235),ISNUMBER(K207)),IF(ABS(K235-K207)&lt;=0.000000001,0,1),IF(AND(NOT(ISNUMBER(K235)),NOT(ISNUMBER(K207))),IF(K235=K207,0,1),1))</f>
        <v>0</v>
      </c>
      <c r="L290" s="104" t="n">
        <f aca="false">IF(AND(ISNUMBER(L235),ISNUMBER(L207)),IF(ABS(L235-L207)&lt;=0.000000001,0,1),IF(AND(NOT(ISNUMBER(L235)),NOT(ISNUMBER(L207))),IF(L235=L207,0,1),1))</f>
        <v>0</v>
      </c>
      <c r="M290" s="104" t="n">
        <f aca="false">IF(AND(ISNUMBER(M235),ISNUMBER(M207)),IF(ABS(M235-M207)&lt;=0.000000001,0,1),IF(AND(NOT(ISNUMBER(M235)),NOT(ISNUMBER(M207))),IF(M235=M207,0,1),1))</f>
        <v>0</v>
      </c>
      <c r="N290" s="104" t="n">
        <f aca="false">IF(AND(ISNUMBER(N235),ISNUMBER(N207)),IF(ABS(N235-N207)&lt;=0.000000001,0,1),IF(AND(NOT(ISNUMBER(N235)),NOT(ISNUMBER(N207))),IF(N235=N207,0,1),1))</f>
        <v>0</v>
      </c>
      <c r="O290" s="104" t="n">
        <f aca="false">IF(AND(ISNUMBER(O235),ISNUMBER(O207)),IF(ABS(O235-O207)&lt;=0.000000001,0,1),IF(AND(NOT(ISNUMBER(O235)),NOT(ISNUMBER(O207))),IF(O235=O207,0,1),1))</f>
        <v>0</v>
      </c>
      <c r="P290" s="104" t="n">
        <f aca="false">IF(AND(ISNUMBER(P235),ISNUMBER(P207)),IF(ABS(P235-P207)&lt;=0.000000001,0,1),IF(AND(NOT(ISNUMBER(P235)),NOT(ISNUMBER(P207))),IF(P235=P207,0,1),1))</f>
        <v>0</v>
      </c>
      <c r="Q290" s="104" t="n">
        <f aca="false">IF(AND(ISNUMBER(Q235),ISNUMBER(Q207)),IF(ABS(Q235-Q207)&lt;=0.000000001,0,1),IF(AND(NOT(ISNUMBER(Q235)),NOT(ISNUMBER(Q207))),IF(Q235=Q207,0,1),1))</f>
        <v>0</v>
      </c>
    </row>
    <row r="291" customFormat="false" ht="15" hidden="false" customHeight="false" outlineLevel="0" collapsed="false">
      <c r="A291" s="51" t="s">
        <v>2256</v>
      </c>
      <c r="C291" s="104" t="n">
        <f aca="false">IF(AND(ISNUMBER(C236),ISNUMBER(C213)),IF(ABS(C236-C213)&lt;=0.000000001,0,1),IF(AND(NOT(ISNUMBER(C236)),NOT(ISNUMBER(C213))),IF(C236=C213,0,1),1))</f>
        <v>0</v>
      </c>
      <c r="D291" s="104" t="n">
        <f aca="false">IF(AND(ISNUMBER(D236),ISNUMBER(D213)),IF(ABS(D236-D213)&lt;=0.000000001,0,1),IF(AND(NOT(ISNUMBER(D236)),NOT(ISNUMBER(D213))),IF(D236=D213,0,1),1))</f>
        <v>0</v>
      </c>
      <c r="E291" s="104" t="n">
        <f aca="false">IF(AND(ISNUMBER(E236),ISNUMBER(E213)),IF(ABS(E236-E213)&lt;=0.000000001,0,1),IF(AND(NOT(ISNUMBER(E236)),NOT(ISNUMBER(E213))),IF(E236=E213,0,1),1))</f>
        <v>0</v>
      </c>
      <c r="F291" s="104" t="n">
        <f aca="false">IF(AND(ISNUMBER(F236),ISNUMBER(F213)),IF(ABS(F236-F213)&lt;=0.000000001,0,1),IF(AND(NOT(ISNUMBER(F236)),NOT(ISNUMBER(F213))),IF(F236=F213,0,1),1))</f>
        <v>0</v>
      </c>
      <c r="G291" s="104" t="n">
        <f aca="false">IF(AND(ISNUMBER(G236),ISNUMBER(G213)),IF(ABS(G236-G213)&lt;=0.000000001,0,1),IF(AND(NOT(ISNUMBER(G236)),NOT(ISNUMBER(G213))),IF(G236=G213,0,1),1))</f>
        <v>0</v>
      </c>
      <c r="H291" s="104" t="n">
        <f aca="false">IF(AND(ISNUMBER(H236),ISNUMBER(H213)),IF(ABS(H236-H213)&lt;=0.000000001,0,1),IF(AND(NOT(ISNUMBER(H236)),NOT(ISNUMBER(H213))),IF(H236=H213,0,1),1))</f>
        <v>0</v>
      </c>
      <c r="I291" s="104" t="n">
        <f aca="false">IF(AND(ISNUMBER(I236),ISNUMBER(I213)),IF(ABS(I236-I213)&lt;=0.000000001,0,1),IF(AND(NOT(ISNUMBER(I236)),NOT(ISNUMBER(I213))),IF(I236=I213,0,1),1))</f>
        <v>0</v>
      </c>
      <c r="J291" s="104" t="n">
        <f aca="false">IF(AND(ISNUMBER(J236),ISNUMBER(J213)),IF(ABS(J236-J213)&lt;=0.000000001,0,1),IF(AND(NOT(ISNUMBER(J236)),NOT(ISNUMBER(J213))),IF(J236=J213,0,1),1))</f>
        <v>0</v>
      </c>
      <c r="K291" s="104" t="n">
        <f aca="false">IF(AND(ISNUMBER(K236),ISNUMBER(K213)),IF(ABS(K236-K213)&lt;=0.000000001,0,1),IF(AND(NOT(ISNUMBER(K236)),NOT(ISNUMBER(K213))),IF(K236=K213,0,1),1))</f>
        <v>0</v>
      </c>
      <c r="L291" s="104" t="n">
        <f aca="false">IF(AND(ISNUMBER(L236),ISNUMBER(L213)),IF(ABS(L236-L213)&lt;=0.000000001,0,1),IF(AND(NOT(ISNUMBER(L236)),NOT(ISNUMBER(L213))),IF(L236=L213,0,1),1))</f>
        <v>0</v>
      </c>
      <c r="M291" s="104" t="n">
        <f aca="false">IF(AND(ISNUMBER(M236),ISNUMBER(M213)),IF(ABS(M236-M213)&lt;=0.000000001,0,1),IF(AND(NOT(ISNUMBER(M236)),NOT(ISNUMBER(M213))),IF(M236=M213,0,1),1))</f>
        <v>0</v>
      </c>
      <c r="N291" s="104" t="n">
        <f aca="false">IF(AND(ISNUMBER(N236),ISNUMBER(N213)),IF(ABS(N236-N213)&lt;=0.000000001,0,1),IF(AND(NOT(ISNUMBER(N236)),NOT(ISNUMBER(N213))),IF(N236=N213,0,1),1))</f>
        <v>0</v>
      </c>
      <c r="O291" s="104" t="n">
        <f aca="false">IF(AND(ISNUMBER(O236),ISNUMBER(O213)),IF(ABS(O236-O213)&lt;=0.000000001,0,1),IF(AND(NOT(ISNUMBER(O236)),NOT(ISNUMBER(O213))),IF(O236=O213,0,1),1))</f>
        <v>0</v>
      </c>
      <c r="P291" s="104" t="n">
        <f aca="false">IF(AND(ISNUMBER(P236),ISNUMBER(P213)),IF(ABS(P236-P213)&lt;=0.000000001,0,1),IF(AND(NOT(ISNUMBER(P236)),NOT(ISNUMBER(P213))),IF(P236=P213,0,1),1))</f>
        <v>0</v>
      </c>
      <c r="Q291" s="104" t="n">
        <f aca="false">IF(AND(ISNUMBER(Q236),ISNUMBER(Q213)),IF(ABS(Q236-Q213)&lt;=0.000000001,0,1),IF(AND(NOT(ISNUMBER(Q236)),NOT(ISNUMBER(Q213))),IF(Q236=Q213,0,1),1))</f>
        <v>0</v>
      </c>
    </row>
    <row r="292" customFormat="false" ht="15" hidden="false" customHeight="false" outlineLevel="0" collapsed="false">
      <c r="A292" s="51" t="s">
        <v>2257</v>
      </c>
      <c r="C292" s="104" t="n">
        <f aca="false">IF(AND(ISNUMBER(C239),ISNUMBER(C119)),IF(ABS(C239-C119)&lt;=0.000000001,0,1),IF(AND(NOT(ISNUMBER(C239)),NOT(ISNUMBER(C119))),IF(C239=C119,0,1),1))</f>
        <v>0</v>
      </c>
      <c r="D292" s="104" t="n">
        <f aca="false">IF(AND(ISNUMBER(D239),ISNUMBER(D119)),IF(ABS(D239-D119)&lt;=0.000000001,0,1),IF(AND(NOT(ISNUMBER(D239)),NOT(ISNUMBER(D119))),IF(D239=D119,0,1),1))</f>
        <v>0</v>
      </c>
      <c r="E292" s="104" t="n">
        <f aca="false">IF(AND(ISNUMBER(E239),ISNUMBER(E119)),IF(ABS(E239-E119)&lt;=0.000000001,0,1),IF(AND(NOT(ISNUMBER(E239)),NOT(ISNUMBER(E119))),IF(E239=E119,0,1),1))</f>
        <v>0</v>
      </c>
      <c r="F292" s="104" t="n">
        <f aca="false">IF(AND(ISNUMBER(F239),ISNUMBER(F119)),IF(ABS(F239-F119)&lt;=0.000000001,0,1),IF(AND(NOT(ISNUMBER(F239)),NOT(ISNUMBER(F119))),IF(F239=F119,0,1),1))</f>
        <v>0</v>
      </c>
      <c r="G292" s="104" t="n">
        <f aca="false">IF(AND(ISNUMBER(G239),ISNUMBER(G119)),IF(ABS(G239-G119)&lt;=0.000000001,0,1),IF(AND(NOT(ISNUMBER(G239)),NOT(ISNUMBER(G119))),IF(G239=G119,0,1),1))</f>
        <v>0</v>
      </c>
      <c r="H292" s="104" t="n">
        <f aca="false">IF(AND(ISNUMBER(H239),ISNUMBER(H119)),IF(ABS(H239-H119)&lt;=0.000000001,0,1),IF(AND(NOT(ISNUMBER(H239)),NOT(ISNUMBER(H119))),IF(H239=H119,0,1),1))</f>
        <v>0</v>
      </c>
      <c r="I292" s="104" t="n">
        <f aca="false">IF(AND(ISNUMBER(I239),ISNUMBER(I119)),IF(ABS(I239-I119)&lt;=0.000000001,0,1),IF(AND(NOT(ISNUMBER(I239)),NOT(ISNUMBER(I119))),IF(I239=I119,0,1),1))</f>
        <v>0</v>
      </c>
      <c r="J292" s="104" t="n">
        <f aca="false">IF(AND(ISNUMBER(J239),ISNUMBER(J119)),IF(ABS(J239-J119)&lt;=0.000000001,0,1),IF(AND(NOT(ISNUMBER(J239)),NOT(ISNUMBER(J119))),IF(J239=J119,0,1),1))</f>
        <v>0</v>
      </c>
      <c r="K292" s="104" t="n">
        <f aca="false">IF(AND(ISNUMBER(K239),ISNUMBER(K119)),IF(ABS(K239-K119)&lt;=0.000000001,0,1),IF(AND(NOT(ISNUMBER(K239)),NOT(ISNUMBER(K119))),IF(K239=K119,0,1),1))</f>
        <v>0</v>
      </c>
      <c r="L292" s="104" t="n">
        <f aca="false">IF(AND(ISNUMBER(L239),ISNUMBER(L119)),IF(ABS(L239-L119)&lt;=0.000000001,0,1),IF(AND(NOT(ISNUMBER(L239)),NOT(ISNUMBER(L119))),IF(L239=L119,0,1),1))</f>
        <v>0</v>
      </c>
      <c r="M292" s="104" t="n">
        <f aca="false">IF(AND(ISNUMBER(M239),ISNUMBER(M119)),IF(ABS(M239-M119)&lt;=0.000000001,0,1),IF(AND(NOT(ISNUMBER(M239)),NOT(ISNUMBER(M119))),IF(M239=M119,0,1),1))</f>
        <v>0</v>
      </c>
      <c r="N292" s="104" t="n">
        <f aca="false">IF(AND(ISNUMBER(N239),ISNUMBER(N119)),IF(ABS(N239-N119)&lt;=0.000000001,0,1),IF(AND(NOT(ISNUMBER(N239)),NOT(ISNUMBER(N119))),IF(N239=N119,0,1),1))</f>
        <v>0</v>
      </c>
      <c r="O292" s="104" t="n">
        <f aca="false">IF(AND(ISNUMBER(O239),ISNUMBER(O119)),IF(ABS(O239-O119)&lt;=0.000000001,0,1),IF(AND(NOT(ISNUMBER(O239)),NOT(ISNUMBER(O119))),IF(O239=O119,0,1),1))</f>
        <v>0</v>
      </c>
      <c r="P292" s="104" t="n">
        <f aca="false">IF(AND(ISNUMBER(P239),ISNUMBER(P119)),IF(ABS(P239-P119)&lt;=0.000000001,0,1),IF(AND(NOT(ISNUMBER(P239)),NOT(ISNUMBER(P119))),IF(P239=P119,0,1),1))</f>
        <v>0</v>
      </c>
      <c r="Q292" s="104" t="n">
        <f aca="false">IF(AND(ISNUMBER(Q239),ISNUMBER(Q119)),IF(ABS(Q239-Q119)&lt;=0.000000001,0,1),IF(AND(NOT(ISNUMBER(Q239)),NOT(ISNUMBER(Q119))),IF(Q239=Q119,0,1),1))</f>
        <v>0</v>
      </c>
    </row>
    <row r="293" customFormat="false" ht="15" hidden="false" customHeight="false" outlineLevel="0" collapsed="false">
      <c r="A293" s="51" t="s">
        <v>2258</v>
      </c>
      <c r="C293" s="104" t="n">
        <f aca="false">IF(AND(ISNUMBER(C240),ISNUMBER(C208)),IF(ABS(C240-C208)&lt;=0.000000001,0,1),IF(AND(NOT(ISNUMBER(C240)),NOT(ISNUMBER(C208))),IF(C240=C208,0,1),1))</f>
        <v>0</v>
      </c>
      <c r="D293" s="104" t="n">
        <f aca="false">IF(AND(ISNUMBER(D240),ISNUMBER(D208)),IF(ABS(D240-D208)&lt;=0.000000001,0,1),IF(AND(NOT(ISNUMBER(D240)),NOT(ISNUMBER(D208))),IF(D240=D208,0,1),1))</f>
        <v>0</v>
      </c>
      <c r="E293" s="104" t="n">
        <f aca="false">IF(AND(ISNUMBER(E240),ISNUMBER(E208)),IF(ABS(E240-E208)&lt;=0.000000001,0,1),IF(AND(NOT(ISNUMBER(E240)),NOT(ISNUMBER(E208))),IF(E240=E208,0,1),1))</f>
        <v>0</v>
      </c>
      <c r="F293" s="104" t="n">
        <f aca="false">IF(AND(ISNUMBER(F240),ISNUMBER(F208)),IF(ABS(F240-F208)&lt;=0.000000001,0,1),IF(AND(NOT(ISNUMBER(F240)),NOT(ISNUMBER(F208))),IF(F240=F208,0,1),1))</f>
        <v>0</v>
      </c>
      <c r="G293" s="104" t="n">
        <f aca="false">IF(AND(ISNUMBER(G240),ISNUMBER(G208)),IF(ABS(G240-G208)&lt;=0.000000001,0,1),IF(AND(NOT(ISNUMBER(G240)),NOT(ISNUMBER(G208))),IF(G240=G208,0,1),1))</f>
        <v>0</v>
      </c>
      <c r="H293" s="104" t="n">
        <f aca="false">IF(AND(ISNUMBER(H240),ISNUMBER(H208)),IF(ABS(H240-H208)&lt;=0.000000001,0,1),IF(AND(NOT(ISNUMBER(H240)),NOT(ISNUMBER(H208))),IF(H240=H208,0,1),1))</f>
        <v>0</v>
      </c>
      <c r="I293" s="104" t="n">
        <f aca="false">IF(AND(ISNUMBER(I240),ISNUMBER(I208)),IF(ABS(I240-I208)&lt;=0.000000001,0,1),IF(AND(NOT(ISNUMBER(I240)),NOT(ISNUMBER(I208))),IF(I240=I208,0,1),1))</f>
        <v>0</v>
      </c>
      <c r="J293" s="104" t="n">
        <f aca="false">IF(AND(ISNUMBER(J240),ISNUMBER(J208)),IF(ABS(J240-J208)&lt;=0.000000001,0,1),IF(AND(NOT(ISNUMBER(J240)),NOT(ISNUMBER(J208))),IF(J240=J208,0,1),1))</f>
        <v>0</v>
      </c>
      <c r="K293" s="104" t="n">
        <f aca="false">IF(AND(ISNUMBER(K240),ISNUMBER(K208)),IF(ABS(K240-K208)&lt;=0.000000001,0,1),IF(AND(NOT(ISNUMBER(K240)),NOT(ISNUMBER(K208))),IF(K240=K208,0,1),1))</f>
        <v>0</v>
      </c>
      <c r="L293" s="104" t="n">
        <f aca="false">IF(AND(ISNUMBER(L240),ISNUMBER(L208)),IF(ABS(L240-L208)&lt;=0.000000001,0,1),IF(AND(NOT(ISNUMBER(L240)),NOT(ISNUMBER(L208))),IF(L240=L208,0,1),1))</f>
        <v>0</v>
      </c>
      <c r="M293" s="104" t="n">
        <f aca="false">IF(AND(ISNUMBER(M240),ISNUMBER(M208)),IF(ABS(M240-M208)&lt;=0.000000001,0,1),IF(AND(NOT(ISNUMBER(M240)),NOT(ISNUMBER(M208))),IF(M240=M208,0,1),1))</f>
        <v>0</v>
      </c>
      <c r="N293" s="104" t="n">
        <f aca="false">IF(AND(ISNUMBER(N240),ISNUMBER(N208)),IF(ABS(N240-N208)&lt;=0.000000001,0,1),IF(AND(NOT(ISNUMBER(N240)),NOT(ISNUMBER(N208))),IF(N240=N208,0,1),1))</f>
        <v>0</v>
      </c>
      <c r="O293" s="104" t="n">
        <f aca="false">IF(AND(ISNUMBER(O240),ISNUMBER(O208)),IF(ABS(O240-O208)&lt;=0.000000001,0,1),IF(AND(NOT(ISNUMBER(O240)),NOT(ISNUMBER(O208))),IF(O240=O208,0,1),1))</f>
        <v>0</v>
      </c>
      <c r="P293" s="104" t="n">
        <f aca="false">IF(AND(ISNUMBER(P240),ISNUMBER(P208)),IF(ABS(P240-P208)&lt;=0.000000001,0,1),IF(AND(NOT(ISNUMBER(P240)),NOT(ISNUMBER(P208))),IF(P240=P208,0,1),1))</f>
        <v>0</v>
      </c>
      <c r="Q293" s="104" t="n">
        <f aca="false">IF(AND(ISNUMBER(Q240),ISNUMBER(Q208)),IF(ABS(Q240-Q208)&lt;=0.000000001,0,1),IF(AND(NOT(ISNUMBER(Q240)),NOT(ISNUMBER(Q208))),IF(Q240=Q208,0,1),1))</f>
        <v>0</v>
      </c>
    </row>
    <row r="294" customFormat="false" ht="15" hidden="false" customHeight="false" outlineLevel="0" collapsed="false">
      <c r="A294" s="51" t="s">
        <v>2259</v>
      </c>
      <c r="C294" s="104" t="n">
        <f aca="false">IF(AND(ISNUMBER(C241),ISNUMBER(C214)),IF(ABS(C241-C214)&lt;=0.000000001,0,1),IF(AND(NOT(ISNUMBER(C241)),NOT(ISNUMBER(C214))),IF(C241=C214,0,1),1))</f>
        <v>0</v>
      </c>
      <c r="D294" s="104" t="n">
        <f aca="false">IF(AND(ISNUMBER(D241),ISNUMBER(D214)),IF(ABS(D241-D214)&lt;=0.000000001,0,1),IF(AND(NOT(ISNUMBER(D241)),NOT(ISNUMBER(D214))),IF(D241=D214,0,1),1))</f>
        <v>0</v>
      </c>
      <c r="E294" s="104" t="n">
        <f aca="false">IF(AND(ISNUMBER(E241),ISNUMBER(E214)),IF(ABS(E241-E214)&lt;=0.000000001,0,1),IF(AND(NOT(ISNUMBER(E241)),NOT(ISNUMBER(E214))),IF(E241=E214,0,1),1))</f>
        <v>0</v>
      </c>
      <c r="F294" s="104" t="n">
        <f aca="false">IF(AND(ISNUMBER(F241),ISNUMBER(F214)),IF(ABS(F241-F214)&lt;=0.000000001,0,1),IF(AND(NOT(ISNUMBER(F241)),NOT(ISNUMBER(F214))),IF(F241=F214,0,1),1))</f>
        <v>0</v>
      </c>
      <c r="G294" s="104" t="n">
        <f aca="false">IF(AND(ISNUMBER(G241),ISNUMBER(G214)),IF(ABS(G241-G214)&lt;=0.000000001,0,1),IF(AND(NOT(ISNUMBER(G241)),NOT(ISNUMBER(G214))),IF(G241=G214,0,1),1))</f>
        <v>0</v>
      </c>
      <c r="H294" s="104" t="n">
        <f aca="false">IF(AND(ISNUMBER(H241),ISNUMBER(H214)),IF(ABS(H241-H214)&lt;=0.000000001,0,1),IF(AND(NOT(ISNUMBER(H241)),NOT(ISNUMBER(H214))),IF(H241=H214,0,1),1))</f>
        <v>0</v>
      </c>
      <c r="I294" s="104" t="n">
        <f aca="false">IF(AND(ISNUMBER(I241),ISNUMBER(I214)),IF(ABS(I241-I214)&lt;=0.000000001,0,1),IF(AND(NOT(ISNUMBER(I241)),NOT(ISNUMBER(I214))),IF(I241=I214,0,1),1))</f>
        <v>0</v>
      </c>
      <c r="J294" s="104" t="n">
        <f aca="false">IF(AND(ISNUMBER(J241),ISNUMBER(J214)),IF(ABS(J241-J214)&lt;=0.000000001,0,1),IF(AND(NOT(ISNUMBER(J241)),NOT(ISNUMBER(J214))),IF(J241=J214,0,1),1))</f>
        <v>0</v>
      </c>
      <c r="K294" s="104" t="n">
        <f aca="false">IF(AND(ISNUMBER(K241),ISNUMBER(K214)),IF(ABS(K241-K214)&lt;=0.000000001,0,1),IF(AND(NOT(ISNUMBER(K241)),NOT(ISNUMBER(K214))),IF(K241=K214,0,1),1))</f>
        <v>0</v>
      </c>
      <c r="L294" s="104" t="n">
        <f aca="false">IF(AND(ISNUMBER(L241),ISNUMBER(L214)),IF(ABS(L241-L214)&lt;=0.000000001,0,1),IF(AND(NOT(ISNUMBER(L241)),NOT(ISNUMBER(L214))),IF(L241=L214,0,1),1))</f>
        <v>0</v>
      </c>
      <c r="M294" s="104" t="n">
        <f aca="false">IF(AND(ISNUMBER(M241),ISNUMBER(M214)),IF(ABS(M241-M214)&lt;=0.000000001,0,1),IF(AND(NOT(ISNUMBER(M241)),NOT(ISNUMBER(M214))),IF(M241=M214,0,1),1))</f>
        <v>0</v>
      </c>
      <c r="N294" s="104" t="n">
        <f aca="false">IF(AND(ISNUMBER(N241),ISNUMBER(N214)),IF(ABS(N241-N214)&lt;=0.000000001,0,1),IF(AND(NOT(ISNUMBER(N241)),NOT(ISNUMBER(N214))),IF(N241=N214,0,1),1))</f>
        <v>0</v>
      </c>
      <c r="O294" s="104" t="n">
        <f aca="false">IF(AND(ISNUMBER(O241),ISNUMBER(O214)),IF(ABS(O241-O214)&lt;=0.000000001,0,1),IF(AND(NOT(ISNUMBER(O241)),NOT(ISNUMBER(O214))),IF(O241=O214,0,1),1))</f>
        <v>0</v>
      </c>
      <c r="P294" s="104" t="n">
        <f aca="false">IF(AND(ISNUMBER(P241),ISNUMBER(P214)),IF(ABS(P241-P214)&lt;=0.000000001,0,1),IF(AND(NOT(ISNUMBER(P241)),NOT(ISNUMBER(P214))),IF(P241=P214,0,1),1))</f>
        <v>0</v>
      </c>
      <c r="Q294" s="104" t="n">
        <f aca="false">IF(AND(ISNUMBER(Q241),ISNUMBER(Q214)),IF(ABS(Q241-Q214)&lt;=0.000000001,0,1),IF(AND(NOT(ISNUMBER(Q241)),NOT(ISNUMBER(Q214))),IF(Q241=Q214,0,1),1))</f>
        <v>0</v>
      </c>
    </row>
    <row r="295" customFormat="false" ht="15" hidden="false" customHeight="false" outlineLevel="0" collapsed="false">
      <c r="A295" s="51" t="s">
        <v>2260</v>
      </c>
      <c r="C295" s="104" t="n">
        <f aca="false">IF(AND(ISNUMBER(C244),ISNUMBER(C137)),IF(ABS(C244-C137)&lt;=0.000000001,0,1),IF(AND(NOT(ISNUMBER(C244)),NOT(ISNUMBER(C137))),IF(C244=C137,0,1),1))</f>
        <v>0</v>
      </c>
      <c r="D295" s="104" t="n">
        <f aca="false">IF(AND(ISNUMBER(D244),ISNUMBER(D137)),IF(ABS(D244-D137)&lt;=0.000000001,0,1),IF(AND(NOT(ISNUMBER(D244)),NOT(ISNUMBER(D137))),IF(D244=D137,0,1),1))</f>
        <v>0</v>
      </c>
      <c r="E295" s="104" t="n">
        <f aca="false">IF(AND(ISNUMBER(E244),ISNUMBER(E137)),IF(ABS(E244-E137)&lt;=0.000000001,0,1),IF(AND(NOT(ISNUMBER(E244)),NOT(ISNUMBER(E137))),IF(E244=E137,0,1),1))</f>
        <v>0</v>
      </c>
      <c r="F295" s="104" t="n">
        <f aca="false">IF(AND(ISNUMBER(F244),ISNUMBER(F137)),IF(ABS(F244-F137)&lt;=0.000000001,0,1),IF(AND(NOT(ISNUMBER(F244)),NOT(ISNUMBER(F137))),IF(F244=F137,0,1),1))</f>
        <v>0</v>
      </c>
      <c r="G295" s="104" t="n">
        <f aca="false">IF(AND(ISNUMBER(G244),ISNUMBER(G137)),IF(ABS(G244-G137)&lt;=0.000000001,0,1),IF(AND(NOT(ISNUMBER(G244)),NOT(ISNUMBER(G137))),IF(G244=G137,0,1),1))</f>
        <v>0</v>
      </c>
      <c r="H295" s="104" t="n">
        <f aca="false">IF(AND(ISNUMBER(H244),ISNUMBER(H137)),IF(ABS(H244-H137)&lt;=0.000000001,0,1),IF(AND(NOT(ISNUMBER(H244)),NOT(ISNUMBER(H137))),IF(H244=H137,0,1),1))</f>
        <v>0</v>
      </c>
      <c r="I295" s="104" t="n">
        <f aca="false">IF(AND(ISNUMBER(I244),ISNUMBER(I137)),IF(ABS(I244-I137)&lt;=0.000000001,0,1),IF(AND(NOT(ISNUMBER(I244)),NOT(ISNUMBER(I137))),IF(I244=I137,0,1),1))</f>
        <v>0</v>
      </c>
      <c r="J295" s="104" t="n">
        <f aca="false">IF(AND(ISNUMBER(J244),ISNUMBER(J137)),IF(ABS(J244-J137)&lt;=0.000000001,0,1),IF(AND(NOT(ISNUMBER(J244)),NOT(ISNUMBER(J137))),IF(J244=J137,0,1),1))</f>
        <v>0</v>
      </c>
      <c r="K295" s="104" t="n">
        <f aca="false">IF(AND(ISNUMBER(K244),ISNUMBER(K137)),IF(ABS(K244-K137)&lt;=0.000000001,0,1),IF(AND(NOT(ISNUMBER(K244)),NOT(ISNUMBER(K137))),IF(K244=K137,0,1),1))</f>
        <v>0</v>
      </c>
      <c r="L295" s="104" t="n">
        <f aca="false">IF(AND(ISNUMBER(L244),ISNUMBER(L137)),IF(ABS(L244-L137)&lt;=0.000000001,0,1),IF(AND(NOT(ISNUMBER(L244)),NOT(ISNUMBER(L137))),IF(L244=L137,0,1),1))</f>
        <v>0</v>
      </c>
      <c r="M295" s="104" t="n">
        <f aca="false">IF(AND(ISNUMBER(M244),ISNUMBER(M137)),IF(ABS(M244-M137)&lt;=0.000000001,0,1),IF(AND(NOT(ISNUMBER(M244)),NOT(ISNUMBER(M137))),IF(M244=M137,0,1),1))</f>
        <v>0</v>
      </c>
      <c r="N295" s="104" t="n">
        <f aca="false">IF(AND(ISNUMBER(N244),ISNUMBER(N137)),IF(ABS(N244-N137)&lt;=0.000000001,0,1),IF(AND(NOT(ISNUMBER(N244)),NOT(ISNUMBER(N137))),IF(N244=N137,0,1),1))</f>
        <v>0</v>
      </c>
      <c r="O295" s="104" t="n">
        <f aca="false">IF(AND(ISNUMBER(O244),ISNUMBER(O137)),IF(ABS(O244-O137)&lt;=0.000000001,0,1),IF(AND(NOT(ISNUMBER(O244)),NOT(ISNUMBER(O137))),IF(O244=O137,0,1),1))</f>
        <v>0</v>
      </c>
      <c r="P295" s="104" t="n">
        <f aca="false">IF(AND(ISNUMBER(P244),ISNUMBER(P137)),IF(ABS(P244-P137)&lt;=0.000000001,0,1),IF(AND(NOT(ISNUMBER(P244)),NOT(ISNUMBER(P137))),IF(P244=P137,0,1),1))</f>
        <v>0</v>
      </c>
      <c r="Q295" s="104" t="n">
        <f aca="false">IF(AND(ISNUMBER(Q244),ISNUMBER(Q137)),IF(ABS(Q244-Q137)&lt;=0.000000001,0,1),IF(AND(NOT(ISNUMBER(Q244)),NOT(ISNUMBER(Q137))),IF(Q244=Q137,0,1),1))</f>
        <v>0</v>
      </c>
    </row>
    <row r="296" customFormat="false" ht="15" hidden="false" customHeight="false" outlineLevel="0" collapsed="false">
      <c r="A296" s="51" t="s">
        <v>2261</v>
      </c>
      <c r="C296" s="104" t="n">
        <f aca="false">IF(AND(ISNUMBER(C245),ISNUMBER(C209)),IF(ABS(C245-C209)&lt;=0.000000001,0,1),IF(AND(NOT(ISNUMBER(C245)),NOT(ISNUMBER(C209))),IF(C245=C209,0,1),1))</f>
        <v>0</v>
      </c>
      <c r="D296" s="104" t="n">
        <f aca="false">IF(AND(ISNUMBER(D245),ISNUMBER(D209)),IF(ABS(D245-D209)&lt;=0.000000001,0,1),IF(AND(NOT(ISNUMBER(D245)),NOT(ISNUMBER(D209))),IF(D245=D209,0,1),1))</f>
        <v>0</v>
      </c>
      <c r="E296" s="104" t="n">
        <f aca="false">IF(AND(ISNUMBER(E245),ISNUMBER(E209)),IF(ABS(E245-E209)&lt;=0.000000001,0,1),IF(AND(NOT(ISNUMBER(E245)),NOT(ISNUMBER(E209))),IF(E245=E209,0,1),1))</f>
        <v>0</v>
      </c>
      <c r="F296" s="104" t="n">
        <f aca="false">IF(AND(ISNUMBER(F245),ISNUMBER(F209)),IF(ABS(F245-F209)&lt;=0.000000001,0,1),IF(AND(NOT(ISNUMBER(F245)),NOT(ISNUMBER(F209))),IF(F245=F209,0,1),1))</f>
        <v>0</v>
      </c>
      <c r="G296" s="104" t="n">
        <f aca="false">IF(AND(ISNUMBER(G245),ISNUMBER(G209)),IF(ABS(G245-G209)&lt;=0.000000001,0,1),IF(AND(NOT(ISNUMBER(G245)),NOT(ISNUMBER(G209))),IF(G245=G209,0,1),1))</f>
        <v>0</v>
      </c>
      <c r="H296" s="104" t="n">
        <f aca="false">IF(AND(ISNUMBER(H245),ISNUMBER(H209)),IF(ABS(H245-H209)&lt;=0.000000001,0,1),IF(AND(NOT(ISNUMBER(H245)),NOT(ISNUMBER(H209))),IF(H245=H209,0,1),1))</f>
        <v>0</v>
      </c>
      <c r="I296" s="104" t="n">
        <f aca="false">IF(AND(ISNUMBER(I245),ISNUMBER(I209)),IF(ABS(I245-I209)&lt;=0.000000001,0,1),IF(AND(NOT(ISNUMBER(I245)),NOT(ISNUMBER(I209))),IF(I245=I209,0,1),1))</f>
        <v>0</v>
      </c>
      <c r="J296" s="104" t="n">
        <f aca="false">IF(AND(ISNUMBER(J245),ISNUMBER(J209)),IF(ABS(J245-J209)&lt;=0.000000001,0,1),IF(AND(NOT(ISNUMBER(J245)),NOT(ISNUMBER(J209))),IF(J245=J209,0,1),1))</f>
        <v>0</v>
      </c>
      <c r="K296" s="104" t="n">
        <f aca="false">IF(AND(ISNUMBER(K245),ISNUMBER(K209)),IF(ABS(K245-K209)&lt;=0.000000001,0,1),IF(AND(NOT(ISNUMBER(K245)),NOT(ISNUMBER(K209))),IF(K245=K209,0,1),1))</f>
        <v>0</v>
      </c>
      <c r="L296" s="104" t="n">
        <f aca="false">IF(AND(ISNUMBER(L245),ISNUMBER(L209)),IF(ABS(L245-L209)&lt;=0.000000001,0,1),IF(AND(NOT(ISNUMBER(L245)),NOT(ISNUMBER(L209))),IF(L245=L209,0,1),1))</f>
        <v>0</v>
      </c>
      <c r="M296" s="104" t="n">
        <f aca="false">IF(AND(ISNUMBER(M245),ISNUMBER(M209)),IF(ABS(M245-M209)&lt;=0.000000001,0,1),IF(AND(NOT(ISNUMBER(M245)),NOT(ISNUMBER(M209))),IF(M245=M209,0,1),1))</f>
        <v>0</v>
      </c>
      <c r="N296" s="104" t="n">
        <f aca="false">IF(AND(ISNUMBER(N245),ISNUMBER(N209)),IF(ABS(N245-N209)&lt;=0.000000001,0,1),IF(AND(NOT(ISNUMBER(N245)),NOT(ISNUMBER(N209))),IF(N245=N209,0,1),1))</f>
        <v>0</v>
      </c>
      <c r="O296" s="104" t="n">
        <f aca="false">IF(AND(ISNUMBER(O245),ISNUMBER(O209)),IF(ABS(O245-O209)&lt;=0.000000001,0,1),IF(AND(NOT(ISNUMBER(O245)),NOT(ISNUMBER(O209))),IF(O245=O209,0,1),1))</f>
        <v>0</v>
      </c>
      <c r="P296" s="104" t="n">
        <f aca="false">IF(AND(ISNUMBER(P245),ISNUMBER(P209)),IF(ABS(P245-P209)&lt;=0.000000001,0,1),IF(AND(NOT(ISNUMBER(P245)),NOT(ISNUMBER(P209))),IF(P245=P209,0,1),1))</f>
        <v>0</v>
      </c>
      <c r="Q296" s="104" t="n">
        <f aca="false">IF(AND(ISNUMBER(Q245),ISNUMBER(Q209)),IF(ABS(Q245-Q209)&lt;=0.000000001,0,1),IF(AND(NOT(ISNUMBER(Q245)),NOT(ISNUMBER(Q209))),IF(Q245=Q209,0,1),1))</f>
        <v>0</v>
      </c>
    </row>
    <row r="297" customFormat="false" ht="15" hidden="false" customHeight="false" outlineLevel="0" collapsed="false">
      <c r="A297" s="51" t="s">
        <v>2262</v>
      </c>
      <c r="C297" s="104" t="n">
        <f aca="false">IF(AND(ISNUMBER(C246),ISNUMBER(C215)),IF(ABS(C246-C215)&lt;=0.000000001,0,1),IF(AND(NOT(ISNUMBER(C246)),NOT(ISNUMBER(C215))),IF(C246=C215,0,1),1))</f>
        <v>0</v>
      </c>
      <c r="D297" s="104" t="n">
        <f aca="false">IF(AND(ISNUMBER(D246),ISNUMBER(D215)),IF(ABS(D246-D215)&lt;=0.000000001,0,1),IF(AND(NOT(ISNUMBER(D246)),NOT(ISNUMBER(D215))),IF(D246=D215,0,1),1))</f>
        <v>0</v>
      </c>
      <c r="E297" s="104" t="n">
        <f aca="false">IF(AND(ISNUMBER(E246),ISNUMBER(E215)),IF(ABS(E246-E215)&lt;=0.000000001,0,1),IF(AND(NOT(ISNUMBER(E246)),NOT(ISNUMBER(E215))),IF(E246=E215,0,1),1))</f>
        <v>0</v>
      </c>
      <c r="F297" s="104" t="n">
        <f aca="false">IF(AND(ISNUMBER(F246),ISNUMBER(F215)),IF(ABS(F246-F215)&lt;=0.000000001,0,1),IF(AND(NOT(ISNUMBER(F246)),NOT(ISNUMBER(F215))),IF(F246=F215,0,1),1))</f>
        <v>0</v>
      </c>
      <c r="G297" s="104" t="n">
        <f aca="false">IF(AND(ISNUMBER(G246),ISNUMBER(G215)),IF(ABS(G246-G215)&lt;=0.000000001,0,1),IF(AND(NOT(ISNUMBER(G246)),NOT(ISNUMBER(G215))),IF(G246=G215,0,1),1))</f>
        <v>0</v>
      </c>
      <c r="H297" s="104" t="n">
        <f aca="false">IF(AND(ISNUMBER(H246),ISNUMBER(H215)),IF(ABS(H246-H215)&lt;=0.000000001,0,1),IF(AND(NOT(ISNUMBER(H246)),NOT(ISNUMBER(H215))),IF(H246=H215,0,1),1))</f>
        <v>0</v>
      </c>
      <c r="I297" s="104" t="n">
        <f aca="false">IF(AND(ISNUMBER(I246),ISNUMBER(I215)),IF(ABS(I246-I215)&lt;=0.000000001,0,1),IF(AND(NOT(ISNUMBER(I246)),NOT(ISNUMBER(I215))),IF(I246=I215,0,1),1))</f>
        <v>0</v>
      </c>
      <c r="J297" s="104" t="n">
        <f aca="false">IF(AND(ISNUMBER(J246),ISNUMBER(J215)),IF(ABS(J246-J215)&lt;=0.000000001,0,1),IF(AND(NOT(ISNUMBER(J246)),NOT(ISNUMBER(J215))),IF(J246=J215,0,1),1))</f>
        <v>0</v>
      </c>
      <c r="K297" s="104" t="n">
        <f aca="false">IF(AND(ISNUMBER(K246),ISNUMBER(K215)),IF(ABS(K246-K215)&lt;=0.000000001,0,1),IF(AND(NOT(ISNUMBER(K246)),NOT(ISNUMBER(K215))),IF(K246=K215,0,1),1))</f>
        <v>0</v>
      </c>
      <c r="L297" s="104" t="n">
        <f aca="false">IF(AND(ISNUMBER(L246),ISNUMBER(L215)),IF(ABS(L246-L215)&lt;=0.000000001,0,1),IF(AND(NOT(ISNUMBER(L246)),NOT(ISNUMBER(L215))),IF(L246=L215,0,1),1))</f>
        <v>0</v>
      </c>
      <c r="M297" s="104" t="n">
        <f aca="false">IF(AND(ISNUMBER(M246),ISNUMBER(M215)),IF(ABS(M246-M215)&lt;=0.000000001,0,1),IF(AND(NOT(ISNUMBER(M246)),NOT(ISNUMBER(M215))),IF(M246=M215,0,1),1))</f>
        <v>0</v>
      </c>
      <c r="N297" s="104" t="n">
        <f aca="false">IF(AND(ISNUMBER(N246),ISNUMBER(N215)),IF(ABS(N246-N215)&lt;=0.000000001,0,1),IF(AND(NOT(ISNUMBER(N246)),NOT(ISNUMBER(N215))),IF(N246=N215,0,1),1))</f>
        <v>0</v>
      </c>
      <c r="O297" s="104" t="n">
        <f aca="false">IF(AND(ISNUMBER(O246),ISNUMBER(O215)),IF(ABS(O246-O215)&lt;=0.000000001,0,1),IF(AND(NOT(ISNUMBER(O246)),NOT(ISNUMBER(O215))),IF(O246=O215,0,1),1))</f>
        <v>0</v>
      </c>
      <c r="P297" s="104" t="n">
        <f aca="false">IF(AND(ISNUMBER(P246),ISNUMBER(P215)),IF(ABS(P246-P215)&lt;=0.000000001,0,1),IF(AND(NOT(ISNUMBER(P246)),NOT(ISNUMBER(P215))),IF(P246=P215,0,1),1))</f>
        <v>0</v>
      </c>
      <c r="Q297" s="104" t="n">
        <f aca="false">IF(AND(ISNUMBER(Q246),ISNUMBER(Q215)),IF(ABS(Q246-Q215)&lt;=0.000000001,0,1),IF(AND(NOT(ISNUMBER(Q246)),NOT(ISNUMBER(Q215))),IF(Q246=Q215,0,1),1))</f>
        <v>0</v>
      </c>
    </row>
    <row r="298" customFormat="false" ht="15" hidden="false" customHeight="false" outlineLevel="0" collapsed="false">
      <c r="A298" s="51" t="s">
        <v>2263</v>
      </c>
      <c r="C298" s="104" t="n">
        <f aca="false">IF(AND(ISNUMBER(C249),ISNUMBER(C143)),IF(ABS(C249-C143)&lt;=0.000000001,0,1),IF(AND(NOT(ISNUMBER(C249)),NOT(ISNUMBER(C143))),IF(C249=C143,0,1),1))</f>
        <v>0</v>
      </c>
      <c r="D298" s="104" t="n">
        <f aca="false">IF(AND(ISNUMBER(D249),ISNUMBER(D143)),IF(ABS(D249-D143)&lt;=0.000000001,0,1),IF(AND(NOT(ISNUMBER(D249)),NOT(ISNUMBER(D143))),IF(D249=D143,0,1),1))</f>
        <v>0</v>
      </c>
      <c r="E298" s="104" t="n">
        <f aca="false">IF(AND(ISNUMBER(E249),ISNUMBER(E143)),IF(ABS(E249-E143)&lt;=0.000000001,0,1),IF(AND(NOT(ISNUMBER(E249)),NOT(ISNUMBER(E143))),IF(E249=E143,0,1),1))</f>
        <v>0</v>
      </c>
      <c r="F298" s="104" t="n">
        <f aca="false">IF(AND(ISNUMBER(F249),ISNUMBER(F143)),IF(ABS(F249-F143)&lt;=0.000000001,0,1),IF(AND(NOT(ISNUMBER(F249)),NOT(ISNUMBER(F143))),IF(F249=F143,0,1),1))</f>
        <v>0</v>
      </c>
      <c r="G298" s="104" t="n">
        <f aca="false">IF(AND(ISNUMBER(G249),ISNUMBER(G143)),IF(ABS(G249-G143)&lt;=0.000000001,0,1),IF(AND(NOT(ISNUMBER(G249)),NOT(ISNUMBER(G143))),IF(G249=G143,0,1),1))</f>
        <v>0</v>
      </c>
      <c r="H298" s="104" t="n">
        <f aca="false">IF(AND(ISNUMBER(H249),ISNUMBER(H143)),IF(ABS(H249-H143)&lt;=0.000000001,0,1),IF(AND(NOT(ISNUMBER(H249)),NOT(ISNUMBER(H143))),IF(H249=H143,0,1),1))</f>
        <v>0</v>
      </c>
      <c r="I298" s="104" t="n">
        <f aca="false">IF(AND(ISNUMBER(I249),ISNUMBER(I143)),IF(ABS(I249-I143)&lt;=0.000000001,0,1),IF(AND(NOT(ISNUMBER(I249)),NOT(ISNUMBER(I143))),IF(I249=I143,0,1),1))</f>
        <v>0</v>
      </c>
      <c r="J298" s="104" t="n">
        <f aca="false">IF(AND(ISNUMBER(J249),ISNUMBER(J143)),IF(ABS(J249-J143)&lt;=0.000000001,0,1),IF(AND(NOT(ISNUMBER(J249)),NOT(ISNUMBER(J143))),IF(J249=J143,0,1),1))</f>
        <v>0</v>
      </c>
      <c r="K298" s="104" t="n">
        <f aca="false">IF(AND(ISNUMBER(K249),ISNUMBER(K143)),IF(ABS(K249-K143)&lt;=0.000000001,0,1),IF(AND(NOT(ISNUMBER(K249)),NOT(ISNUMBER(K143))),IF(K249=K143,0,1),1))</f>
        <v>0</v>
      </c>
      <c r="L298" s="104" t="n">
        <f aca="false">IF(AND(ISNUMBER(L249),ISNUMBER(L143)),IF(ABS(L249-L143)&lt;=0.000000001,0,1),IF(AND(NOT(ISNUMBER(L249)),NOT(ISNUMBER(L143))),IF(L249=L143,0,1),1))</f>
        <v>0</v>
      </c>
      <c r="M298" s="104" t="n">
        <f aca="false">IF(AND(ISNUMBER(M249),ISNUMBER(M143)),IF(ABS(M249-M143)&lt;=0.000000001,0,1),IF(AND(NOT(ISNUMBER(M249)),NOT(ISNUMBER(M143))),IF(M249=M143,0,1),1))</f>
        <v>0</v>
      </c>
      <c r="N298" s="104" t="n">
        <f aca="false">IF(AND(ISNUMBER(N249),ISNUMBER(N143)),IF(ABS(N249-N143)&lt;=0.000000001,0,1),IF(AND(NOT(ISNUMBER(N249)),NOT(ISNUMBER(N143))),IF(N249=N143,0,1),1))</f>
        <v>0</v>
      </c>
      <c r="O298" s="104" t="n">
        <f aca="false">IF(AND(ISNUMBER(O249),ISNUMBER(O143)),IF(ABS(O249-O143)&lt;=0.000000001,0,1),IF(AND(NOT(ISNUMBER(O249)),NOT(ISNUMBER(O143))),IF(O249=O143,0,1),1))</f>
        <v>0</v>
      </c>
      <c r="P298" s="104" t="n">
        <f aca="false">IF(AND(ISNUMBER(P249),ISNUMBER(P143)),IF(ABS(P249-P143)&lt;=0.000000001,0,1),IF(AND(NOT(ISNUMBER(P249)),NOT(ISNUMBER(P143))),IF(P249=P143,0,1),1))</f>
        <v>0</v>
      </c>
      <c r="Q298" s="104" t="n">
        <f aca="false">IF(AND(ISNUMBER(Q249),ISNUMBER(Q143)),IF(ABS(Q249-Q143)&lt;=0.000000001,0,1),IF(AND(NOT(ISNUMBER(Q249)),NOT(ISNUMBER(Q143))),IF(Q249=Q143,0,1),1))</f>
        <v>0</v>
      </c>
    </row>
    <row r="299" customFormat="false" ht="15" hidden="false" customHeight="false" outlineLevel="0" collapsed="false">
      <c r="A299" s="51" t="s">
        <v>2264</v>
      </c>
      <c r="C299" s="104" t="n">
        <f aca="false">IF(AND(ISNUMBER(C250),ISNUMBER(C210)),IF(ABS(C250-C210)&lt;=0.000000001,0,1),IF(AND(NOT(ISNUMBER(C250)),NOT(ISNUMBER(C210))),IF(C250=C210,0,1),1))</f>
        <v>0</v>
      </c>
      <c r="D299" s="104" t="n">
        <f aca="false">IF(AND(ISNUMBER(D250),ISNUMBER(D210)),IF(ABS(D250-D210)&lt;=0.000000001,0,1),IF(AND(NOT(ISNUMBER(D250)),NOT(ISNUMBER(D210))),IF(D250=D210,0,1),1))</f>
        <v>0</v>
      </c>
      <c r="E299" s="104" t="n">
        <f aca="false">IF(AND(ISNUMBER(E250),ISNUMBER(E210)),IF(ABS(E250-E210)&lt;=0.000000001,0,1),IF(AND(NOT(ISNUMBER(E250)),NOT(ISNUMBER(E210))),IF(E250=E210,0,1),1))</f>
        <v>0</v>
      </c>
      <c r="F299" s="104" t="n">
        <f aca="false">IF(AND(ISNUMBER(F250),ISNUMBER(F210)),IF(ABS(F250-F210)&lt;=0.000000001,0,1),IF(AND(NOT(ISNUMBER(F250)),NOT(ISNUMBER(F210))),IF(F250=F210,0,1),1))</f>
        <v>0</v>
      </c>
      <c r="G299" s="104" t="n">
        <f aca="false">IF(AND(ISNUMBER(G250),ISNUMBER(G210)),IF(ABS(G250-G210)&lt;=0.000000001,0,1),IF(AND(NOT(ISNUMBER(G250)),NOT(ISNUMBER(G210))),IF(G250=G210,0,1),1))</f>
        <v>0</v>
      </c>
      <c r="H299" s="104" t="n">
        <f aca="false">IF(AND(ISNUMBER(H250),ISNUMBER(H210)),IF(ABS(H250-H210)&lt;=0.000000001,0,1),IF(AND(NOT(ISNUMBER(H250)),NOT(ISNUMBER(H210))),IF(H250=H210,0,1),1))</f>
        <v>0</v>
      </c>
      <c r="I299" s="104" t="n">
        <f aca="false">IF(AND(ISNUMBER(I250),ISNUMBER(I210)),IF(ABS(I250-I210)&lt;=0.000000001,0,1),IF(AND(NOT(ISNUMBER(I250)),NOT(ISNUMBER(I210))),IF(I250=I210,0,1),1))</f>
        <v>0</v>
      </c>
      <c r="J299" s="104" t="n">
        <f aca="false">IF(AND(ISNUMBER(J250),ISNUMBER(J210)),IF(ABS(J250-J210)&lt;=0.000000001,0,1),IF(AND(NOT(ISNUMBER(J250)),NOT(ISNUMBER(J210))),IF(J250=J210,0,1),1))</f>
        <v>0</v>
      </c>
      <c r="K299" s="104" t="n">
        <f aca="false">IF(AND(ISNUMBER(K250),ISNUMBER(K210)),IF(ABS(K250-K210)&lt;=0.000000001,0,1),IF(AND(NOT(ISNUMBER(K250)),NOT(ISNUMBER(K210))),IF(K250=K210,0,1),1))</f>
        <v>0</v>
      </c>
      <c r="L299" s="104" t="n">
        <f aca="false">IF(AND(ISNUMBER(L250),ISNUMBER(L210)),IF(ABS(L250-L210)&lt;=0.000000001,0,1),IF(AND(NOT(ISNUMBER(L250)),NOT(ISNUMBER(L210))),IF(L250=L210,0,1),1))</f>
        <v>0</v>
      </c>
      <c r="M299" s="104" t="n">
        <f aca="false">IF(AND(ISNUMBER(M250),ISNUMBER(M210)),IF(ABS(M250-M210)&lt;=0.000000001,0,1),IF(AND(NOT(ISNUMBER(M250)),NOT(ISNUMBER(M210))),IF(M250=M210,0,1),1))</f>
        <v>0</v>
      </c>
      <c r="N299" s="104" t="n">
        <f aca="false">IF(AND(ISNUMBER(N250),ISNUMBER(N210)),IF(ABS(N250-N210)&lt;=0.000000001,0,1),IF(AND(NOT(ISNUMBER(N250)),NOT(ISNUMBER(N210))),IF(N250=N210,0,1),1))</f>
        <v>0</v>
      </c>
      <c r="O299" s="104" t="n">
        <f aca="false">IF(AND(ISNUMBER(O250),ISNUMBER(O210)),IF(ABS(O250-O210)&lt;=0.000000001,0,1),IF(AND(NOT(ISNUMBER(O250)),NOT(ISNUMBER(O210))),IF(O250=O210,0,1),1))</f>
        <v>0</v>
      </c>
      <c r="P299" s="104" t="n">
        <f aca="false">IF(AND(ISNUMBER(P250),ISNUMBER(P210)),IF(ABS(P250-P210)&lt;=0.000000001,0,1),IF(AND(NOT(ISNUMBER(P250)),NOT(ISNUMBER(P210))),IF(P250=P210,0,1),1))</f>
        <v>0</v>
      </c>
      <c r="Q299" s="104" t="n">
        <f aca="false">IF(AND(ISNUMBER(Q250),ISNUMBER(Q210)),IF(ABS(Q250-Q210)&lt;=0.000000001,0,1),IF(AND(NOT(ISNUMBER(Q250)),NOT(ISNUMBER(Q210))),IF(Q250=Q210,0,1),1))</f>
        <v>0</v>
      </c>
    </row>
    <row r="300" customFormat="false" ht="15" hidden="false" customHeight="false" outlineLevel="0" collapsed="false">
      <c r="A300" s="51" t="s">
        <v>2265</v>
      </c>
      <c r="C300" s="104" t="n">
        <f aca="false">IF(AND(ISNUMBER(C251),ISNUMBER(C216)),IF(ABS(C251-C216)&lt;=0.000000001,0,1),IF(AND(NOT(ISNUMBER(C251)),NOT(ISNUMBER(C216))),IF(C251=C216,0,1),1))</f>
        <v>0</v>
      </c>
      <c r="D300" s="104" t="n">
        <f aca="false">IF(AND(ISNUMBER(D251),ISNUMBER(D216)),IF(ABS(D251-D216)&lt;=0.000000001,0,1),IF(AND(NOT(ISNUMBER(D251)),NOT(ISNUMBER(D216))),IF(D251=D216,0,1),1))</f>
        <v>0</v>
      </c>
      <c r="E300" s="104" t="n">
        <f aca="false">IF(AND(ISNUMBER(E251),ISNUMBER(E216)),IF(ABS(E251-E216)&lt;=0.000000001,0,1),IF(AND(NOT(ISNUMBER(E251)),NOT(ISNUMBER(E216))),IF(E251=E216,0,1),1))</f>
        <v>0</v>
      </c>
      <c r="F300" s="104" t="n">
        <f aca="false">IF(AND(ISNUMBER(F251),ISNUMBER(F216)),IF(ABS(F251-F216)&lt;=0.000000001,0,1),IF(AND(NOT(ISNUMBER(F251)),NOT(ISNUMBER(F216))),IF(F251=F216,0,1),1))</f>
        <v>0</v>
      </c>
      <c r="G300" s="104" t="n">
        <f aca="false">IF(AND(ISNUMBER(G251),ISNUMBER(G216)),IF(ABS(G251-G216)&lt;=0.000000001,0,1),IF(AND(NOT(ISNUMBER(G251)),NOT(ISNUMBER(G216))),IF(G251=G216,0,1),1))</f>
        <v>0</v>
      </c>
      <c r="H300" s="104" t="n">
        <f aca="false">IF(AND(ISNUMBER(H251),ISNUMBER(H216)),IF(ABS(H251-H216)&lt;=0.000000001,0,1),IF(AND(NOT(ISNUMBER(H251)),NOT(ISNUMBER(H216))),IF(H251=H216,0,1),1))</f>
        <v>0</v>
      </c>
      <c r="I300" s="104" t="n">
        <f aca="false">IF(AND(ISNUMBER(I251),ISNUMBER(I216)),IF(ABS(I251-I216)&lt;=0.000000001,0,1),IF(AND(NOT(ISNUMBER(I251)),NOT(ISNUMBER(I216))),IF(I251=I216,0,1),1))</f>
        <v>0</v>
      </c>
      <c r="J300" s="104" t="n">
        <f aca="false">IF(AND(ISNUMBER(J251),ISNUMBER(J216)),IF(ABS(J251-J216)&lt;=0.000000001,0,1),IF(AND(NOT(ISNUMBER(J251)),NOT(ISNUMBER(J216))),IF(J251=J216,0,1),1))</f>
        <v>0</v>
      </c>
      <c r="K300" s="104" t="n">
        <f aca="false">IF(AND(ISNUMBER(K251),ISNUMBER(K216)),IF(ABS(K251-K216)&lt;=0.000000001,0,1),IF(AND(NOT(ISNUMBER(K251)),NOT(ISNUMBER(K216))),IF(K251=K216,0,1),1))</f>
        <v>0</v>
      </c>
      <c r="L300" s="104" t="n">
        <f aca="false">IF(AND(ISNUMBER(L251),ISNUMBER(L216)),IF(ABS(L251-L216)&lt;=0.000000001,0,1),IF(AND(NOT(ISNUMBER(L251)),NOT(ISNUMBER(L216))),IF(L251=L216,0,1),1))</f>
        <v>0</v>
      </c>
      <c r="M300" s="104" t="n">
        <f aca="false">IF(AND(ISNUMBER(M251),ISNUMBER(M216)),IF(ABS(M251-M216)&lt;=0.000000001,0,1),IF(AND(NOT(ISNUMBER(M251)),NOT(ISNUMBER(M216))),IF(M251=M216,0,1),1))</f>
        <v>0</v>
      </c>
      <c r="N300" s="104" t="n">
        <f aca="false">IF(AND(ISNUMBER(N251),ISNUMBER(N216)),IF(ABS(N251-N216)&lt;=0.000000001,0,1),IF(AND(NOT(ISNUMBER(N251)),NOT(ISNUMBER(N216))),IF(N251=N216,0,1),1))</f>
        <v>0</v>
      </c>
      <c r="O300" s="104" t="n">
        <f aca="false">IF(AND(ISNUMBER(O251),ISNUMBER(O216)),IF(ABS(O251-O216)&lt;=0.000000001,0,1),IF(AND(NOT(ISNUMBER(O251)),NOT(ISNUMBER(O216))),IF(O251=O216,0,1),1))</f>
        <v>0</v>
      </c>
      <c r="P300" s="104" t="n">
        <f aca="false">IF(AND(ISNUMBER(P251),ISNUMBER(P216)),IF(ABS(P251-P216)&lt;=0.000000001,0,1),IF(AND(NOT(ISNUMBER(P251)),NOT(ISNUMBER(P216))),IF(P251=P216,0,1),1))</f>
        <v>0</v>
      </c>
      <c r="Q300" s="104" t="n">
        <f aca="false">IF(AND(ISNUMBER(Q251),ISNUMBER(Q216)),IF(ABS(Q251-Q216)&lt;=0.000000001,0,1),IF(AND(NOT(ISNUMBER(Q251)),NOT(ISNUMBER(Q216))),IF(Q251=Q216,0,1),1))</f>
        <v>0</v>
      </c>
    </row>
    <row r="301" customFormat="false" ht="15" hidden="false" customHeight="false" outlineLevel="0" collapsed="false">
      <c r="A301" s="51" t="s">
        <v>2266</v>
      </c>
      <c r="C301" s="104" t="n">
        <f aca="false">IF(AND(ISNUMBER(C254),ISNUMBER(C102)),IF(ABS(C254-C102)&lt;=0.000000001,0,1),IF(AND(NOT(ISNUMBER(C254)),NOT(ISNUMBER(C102))),IF(C254=C102,0,1),1))</f>
        <v>0</v>
      </c>
      <c r="D301" s="104" t="n">
        <f aca="false">IF(AND(ISNUMBER(D254),ISNUMBER(D102)),IF(ABS(D254-D102)&lt;=0.000000001,0,1),IF(AND(NOT(ISNUMBER(D254)),NOT(ISNUMBER(D102))),IF(D254=D102,0,1),1))</f>
        <v>0</v>
      </c>
      <c r="E301" s="104" t="n">
        <f aca="false">IF(AND(ISNUMBER(E254),ISNUMBER(E102)),IF(ABS(E254-E102)&lt;=0.000000001,0,1),IF(AND(NOT(ISNUMBER(E254)),NOT(ISNUMBER(E102))),IF(E254=E102,0,1),1))</f>
        <v>0</v>
      </c>
      <c r="F301" s="104" t="n">
        <f aca="false">IF(AND(ISNUMBER(F254),ISNUMBER(F102)),IF(ABS(F254-F102)&lt;=0.000000001,0,1),IF(AND(NOT(ISNUMBER(F254)),NOT(ISNUMBER(F102))),IF(F254=F102,0,1),1))</f>
        <v>0</v>
      </c>
      <c r="G301" s="104" t="n">
        <f aca="false">IF(AND(ISNUMBER(G254),ISNUMBER(G102)),IF(ABS(G254-G102)&lt;=0.000000001,0,1),IF(AND(NOT(ISNUMBER(G254)),NOT(ISNUMBER(G102))),IF(G254=G102,0,1),1))</f>
        <v>0</v>
      </c>
      <c r="H301" s="104" t="n">
        <f aca="false">IF(AND(ISNUMBER(H254),ISNUMBER(H102)),IF(ABS(H254-H102)&lt;=0.000000001,0,1),IF(AND(NOT(ISNUMBER(H254)),NOT(ISNUMBER(H102))),IF(H254=H102,0,1),1))</f>
        <v>0</v>
      </c>
      <c r="I301" s="104" t="n">
        <f aca="false">IF(AND(ISNUMBER(I254),ISNUMBER(I102)),IF(ABS(I254-I102)&lt;=0.000000001,0,1),IF(AND(NOT(ISNUMBER(I254)),NOT(ISNUMBER(I102))),IF(I254=I102,0,1),1))</f>
        <v>0</v>
      </c>
      <c r="J301" s="104" t="n">
        <f aca="false">IF(AND(ISNUMBER(J254),ISNUMBER(J102)),IF(ABS(J254-J102)&lt;=0.000000001,0,1),IF(AND(NOT(ISNUMBER(J254)),NOT(ISNUMBER(J102))),IF(J254=J102,0,1),1))</f>
        <v>0</v>
      </c>
      <c r="K301" s="104" t="n">
        <f aca="false">IF(AND(ISNUMBER(K254),ISNUMBER(K102)),IF(ABS(K254-K102)&lt;=0.000000001,0,1),IF(AND(NOT(ISNUMBER(K254)),NOT(ISNUMBER(K102))),IF(K254=K102,0,1),1))</f>
        <v>0</v>
      </c>
      <c r="L301" s="104" t="n">
        <f aca="false">IF(AND(ISNUMBER(L254),ISNUMBER(L102)),IF(ABS(L254-L102)&lt;=0.000000001,0,1),IF(AND(NOT(ISNUMBER(L254)),NOT(ISNUMBER(L102))),IF(L254=L102,0,1),1))</f>
        <v>0</v>
      </c>
      <c r="M301" s="104" t="n">
        <f aca="false">IF(AND(ISNUMBER(M254),ISNUMBER(M102)),IF(ABS(M254-M102)&lt;=0.000000001,0,1),IF(AND(NOT(ISNUMBER(M254)),NOT(ISNUMBER(M102))),IF(M254=M102,0,1),1))</f>
        <v>0</v>
      </c>
      <c r="N301" s="104" t="n">
        <f aca="false">IF(AND(ISNUMBER(N254),ISNUMBER(N102)),IF(ABS(N254-N102)&lt;=0.000000001,0,1),IF(AND(NOT(ISNUMBER(N254)),NOT(ISNUMBER(N102))),IF(N254=N102,0,1),1))</f>
        <v>0</v>
      </c>
      <c r="O301" s="104" t="n">
        <f aca="false">IF(AND(ISNUMBER(O254),ISNUMBER(O102)),IF(ABS(O254-O102)&lt;=0.000000001,0,1),IF(AND(NOT(ISNUMBER(O254)),NOT(ISNUMBER(O102))),IF(O254=O102,0,1),1))</f>
        <v>0</v>
      </c>
      <c r="P301" s="104" t="n">
        <f aca="false">IF(AND(ISNUMBER(P254),ISNUMBER(P102)),IF(ABS(P254-P102)&lt;=0.000000001,0,1),IF(AND(NOT(ISNUMBER(P254)),NOT(ISNUMBER(P102))),IF(P254=P102,0,1),1))</f>
        <v>0</v>
      </c>
      <c r="Q301" s="104" t="n">
        <f aca="false">IF(AND(ISNUMBER(Q254),ISNUMBER(Q102)),IF(ABS(Q254-Q102)&lt;=0.000000001,0,1),IF(AND(NOT(ISNUMBER(Q254)),NOT(ISNUMBER(Q102))),IF(Q254=Q102,0,1),1))</f>
        <v>0</v>
      </c>
    </row>
    <row r="302" customFormat="false" ht="15" hidden="false" customHeight="false" outlineLevel="0" collapsed="false">
      <c r="A302" s="51" t="s">
        <v>2267</v>
      </c>
      <c r="C302" s="104" t="n">
        <f aca="false">IF(AND(ISNUMBER(C259),ISNUMBER(C120)),IF(ABS(C259-C120)&lt;=0.000000001,0,1),IF(AND(NOT(ISNUMBER(C259)),NOT(ISNUMBER(C120))),IF(C259=C120,0,1),1))</f>
        <v>0</v>
      </c>
      <c r="D302" s="104" t="n">
        <f aca="false">IF(AND(ISNUMBER(D259),ISNUMBER(D120)),IF(ABS(D259-D120)&lt;=0.000000001,0,1),IF(AND(NOT(ISNUMBER(D259)),NOT(ISNUMBER(D120))),IF(D259=D120,0,1),1))</f>
        <v>0</v>
      </c>
      <c r="E302" s="104" t="n">
        <f aca="false">IF(AND(ISNUMBER(E259),ISNUMBER(E120)),IF(ABS(E259-E120)&lt;=0.000000001,0,1),IF(AND(NOT(ISNUMBER(E259)),NOT(ISNUMBER(E120))),IF(E259=E120,0,1),1))</f>
        <v>0</v>
      </c>
      <c r="F302" s="104" t="n">
        <f aca="false">IF(AND(ISNUMBER(F259),ISNUMBER(F120)),IF(ABS(F259-F120)&lt;=0.000000001,0,1),IF(AND(NOT(ISNUMBER(F259)),NOT(ISNUMBER(F120))),IF(F259=F120,0,1),1))</f>
        <v>0</v>
      </c>
      <c r="G302" s="104" t="n">
        <f aca="false">IF(AND(ISNUMBER(G259),ISNUMBER(G120)),IF(ABS(G259-G120)&lt;=0.000000001,0,1),IF(AND(NOT(ISNUMBER(G259)),NOT(ISNUMBER(G120))),IF(G259=G120,0,1),1))</f>
        <v>0</v>
      </c>
      <c r="H302" s="104" t="n">
        <f aca="false">IF(AND(ISNUMBER(H259),ISNUMBER(H120)),IF(ABS(H259-H120)&lt;=0.000000001,0,1),IF(AND(NOT(ISNUMBER(H259)),NOT(ISNUMBER(H120))),IF(H259=H120,0,1),1))</f>
        <v>0</v>
      </c>
      <c r="I302" s="104" t="n">
        <f aca="false">IF(AND(ISNUMBER(I259),ISNUMBER(I120)),IF(ABS(I259-I120)&lt;=0.000000001,0,1),IF(AND(NOT(ISNUMBER(I259)),NOT(ISNUMBER(I120))),IF(I259=I120,0,1),1))</f>
        <v>0</v>
      </c>
      <c r="J302" s="104" t="n">
        <f aca="false">IF(AND(ISNUMBER(J259),ISNUMBER(J120)),IF(ABS(J259-J120)&lt;=0.000000001,0,1),IF(AND(NOT(ISNUMBER(J259)),NOT(ISNUMBER(J120))),IF(J259=J120,0,1),1))</f>
        <v>0</v>
      </c>
      <c r="K302" s="104" t="n">
        <f aca="false">IF(AND(ISNUMBER(K259),ISNUMBER(K120)),IF(ABS(K259-K120)&lt;=0.000000001,0,1),IF(AND(NOT(ISNUMBER(K259)),NOT(ISNUMBER(K120))),IF(K259=K120,0,1),1))</f>
        <v>0</v>
      </c>
      <c r="L302" s="104" t="n">
        <f aca="false">IF(AND(ISNUMBER(L259),ISNUMBER(L120)),IF(ABS(L259-L120)&lt;=0.000000001,0,1),IF(AND(NOT(ISNUMBER(L259)),NOT(ISNUMBER(L120))),IF(L259=L120,0,1),1))</f>
        <v>0</v>
      </c>
      <c r="M302" s="104" t="n">
        <f aca="false">IF(AND(ISNUMBER(M259),ISNUMBER(M120)),IF(ABS(M259-M120)&lt;=0.000000001,0,1),IF(AND(NOT(ISNUMBER(M259)),NOT(ISNUMBER(M120))),IF(M259=M120,0,1),1))</f>
        <v>0</v>
      </c>
      <c r="N302" s="104" t="n">
        <f aca="false">IF(AND(ISNUMBER(N259),ISNUMBER(N120)),IF(ABS(N259-N120)&lt;=0.000000001,0,1),IF(AND(NOT(ISNUMBER(N259)),NOT(ISNUMBER(N120))),IF(N259=N120,0,1),1))</f>
        <v>0</v>
      </c>
      <c r="O302" s="104" t="n">
        <f aca="false">IF(AND(ISNUMBER(O259),ISNUMBER(O120)),IF(ABS(O259-O120)&lt;=0.000000001,0,1),IF(AND(NOT(ISNUMBER(O259)),NOT(ISNUMBER(O120))),IF(O259=O120,0,1),1))</f>
        <v>0</v>
      </c>
      <c r="P302" s="104" t="n">
        <f aca="false">IF(AND(ISNUMBER(P259),ISNUMBER(P120)),IF(ABS(P259-P120)&lt;=0.000000001,0,1),IF(AND(NOT(ISNUMBER(P259)),NOT(ISNUMBER(P120))),IF(P259=P120,0,1),1))</f>
        <v>0</v>
      </c>
      <c r="Q302" s="104" t="n">
        <f aca="false">IF(AND(ISNUMBER(Q259),ISNUMBER(Q120)),IF(ABS(Q259-Q120)&lt;=0.000000001,0,1),IF(AND(NOT(ISNUMBER(Q259)),NOT(ISNUMBER(Q120))),IF(Q259=Q120,0,1),1))</f>
        <v>0</v>
      </c>
    </row>
    <row r="303" customFormat="false" ht="15" hidden="false" customHeight="false" outlineLevel="0" collapsed="false">
      <c r="A303" s="51" t="s">
        <v>2268</v>
      </c>
      <c r="C303" s="104" t="n">
        <f aca="false">IF(AND(ISNUMBER(C264),ISNUMBER(C138)),IF(ABS(C264-C138)&lt;=0.000000001,0,1),IF(AND(NOT(ISNUMBER(C264)),NOT(ISNUMBER(C138))),IF(C264=C138,0,1),1))</f>
        <v>0</v>
      </c>
      <c r="D303" s="104" t="n">
        <f aca="false">IF(AND(ISNUMBER(D264),ISNUMBER(D138)),IF(ABS(D264-D138)&lt;=0.000000001,0,1),IF(AND(NOT(ISNUMBER(D264)),NOT(ISNUMBER(D138))),IF(D264=D138,0,1),1))</f>
        <v>0</v>
      </c>
      <c r="E303" s="104" t="n">
        <f aca="false">IF(AND(ISNUMBER(E264),ISNUMBER(E138)),IF(ABS(E264-E138)&lt;=0.000000001,0,1),IF(AND(NOT(ISNUMBER(E264)),NOT(ISNUMBER(E138))),IF(E264=E138,0,1),1))</f>
        <v>0</v>
      </c>
      <c r="F303" s="104" t="n">
        <f aca="false">IF(AND(ISNUMBER(F264),ISNUMBER(F138)),IF(ABS(F264-F138)&lt;=0.000000001,0,1),IF(AND(NOT(ISNUMBER(F264)),NOT(ISNUMBER(F138))),IF(F264=F138,0,1),1))</f>
        <v>0</v>
      </c>
      <c r="G303" s="104" t="n">
        <f aca="false">IF(AND(ISNUMBER(G264),ISNUMBER(G138)),IF(ABS(G264-G138)&lt;=0.000000001,0,1),IF(AND(NOT(ISNUMBER(G264)),NOT(ISNUMBER(G138))),IF(G264=G138,0,1),1))</f>
        <v>0</v>
      </c>
      <c r="H303" s="104" t="n">
        <f aca="false">IF(AND(ISNUMBER(H264),ISNUMBER(H138)),IF(ABS(H264-H138)&lt;=0.000000001,0,1),IF(AND(NOT(ISNUMBER(H264)),NOT(ISNUMBER(H138))),IF(H264=H138,0,1),1))</f>
        <v>0</v>
      </c>
      <c r="I303" s="104" t="n">
        <f aca="false">IF(AND(ISNUMBER(I264),ISNUMBER(I138)),IF(ABS(I264-I138)&lt;=0.000000001,0,1),IF(AND(NOT(ISNUMBER(I264)),NOT(ISNUMBER(I138))),IF(I264=I138,0,1),1))</f>
        <v>0</v>
      </c>
      <c r="J303" s="104" t="n">
        <f aca="false">IF(AND(ISNUMBER(J264),ISNUMBER(J138)),IF(ABS(J264-J138)&lt;=0.000000001,0,1),IF(AND(NOT(ISNUMBER(J264)),NOT(ISNUMBER(J138))),IF(J264=J138,0,1),1))</f>
        <v>0</v>
      </c>
      <c r="K303" s="104" t="n">
        <f aca="false">IF(AND(ISNUMBER(K264),ISNUMBER(K138)),IF(ABS(K264-K138)&lt;=0.000000001,0,1),IF(AND(NOT(ISNUMBER(K264)),NOT(ISNUMBER(K138))),IF(K264=K138,0,1),1))</f>
        <v>0</v>
      </c>
      <c r="L303" s="104" t="n">
        <f aca="false">IF(AND(ISNUMBER(L264),ISNUMBER(L138)),IF(ABS(L264-L138)&lt;=0.000000001,0,1),IF(AND(NOT(ISNUMBER(L264)),NOT(ISNUMBER(L138))),IF(L264=L138,0,1),1))</f>
        <v>0</v>
      </c>
      <c r="M303" s="104" t="n">
        <f aca="false">IF(AND(ISNUMBER(M264),ISNUMBER(M138)),IF(ABS(M264-M138)&lt;=0.000000001,0,1),IF(AND(NOT(ISNUMBER(M264)),NOT(ISNUMBER(M138))),IF(M264=M138,0,1),1))</f>
        <v>0</v>
      </c>
      <c r="N303" s="104" t="n">
        <f aca="false">IF(AND(ISNUMBER(N264),ISNUMBER(N138)),IF(ABS(N264-N138)&lt;=0.000000001,0,1),IF(AND(NOT(ISNUMBER(N264)),NOT(ISNUMBER(N138))),IF(N264=N138,0,1),1))</f>
        <v>0</v>
      </c>
      <c r="O303" s="104" t="n">
        <f aca="false">IF(AND(ISNUMBER(O264),ISNUMBER(O138)),IF(ABS(O264-O138)&lt;=0.000000001,0,1),IF(AND(NOT(ISNUMBER(O264)),NOT(ISNUMBER(O138))),IF(O264=O138,0,1),1))</f>
        <v>0</v>
      </c>
      <c r="P303" s="104" t="n">
        <f aca="false">IF(AND(ISNUMBER(P264),ISNUMBER(P138)),IF(ABS(P264-P138)&lt;=0.000000001,0,1),IF(AND(NOT(ISNUMBER(P264)),NOT(ISNUMBER(P138))),IF(P264=P138,0,1),1))</f>
        <v>0</v>
      </c>
      <c r="Q303" s="104" t="n">
        <f aca="false">IF(AND(ISNUMBER(Q264),ISNUMBER(Q138)),IF(ABS(Q264-Q138)&lt;=0.000000001,0,1),IF(AND(NOT(ISNUMBER(Q264)),NOT(ISNUMBER(Q138))),IF(Q264=Q138,0,1),1))</f>
        <v>0</v>
      </c>
    </row>
    <row r="304" customFormat="false" ht="15" hidden="false" customHeight="false" outlineLevel="0" collapsed="false">
      <c r="A304" s="51" t="s">
        <v>2269</v>
      </c>
      <c r="C304" s="104" t="n">
        <f aca="false">IF(AND(ISNUMBER(C269),ISNUMBER(C147)),IF(ABS(C269-C147)&lt;=0.000000001,0,1),IF(AND(NOT(ISNUMBER(C269)),NOT(ISNUMBER(C147))),IF(C269=C147,0,1),1))</f>
        <v>0</v>
      </c>
      <c r="D304" s="104" t="n">
        <f aca="false">IF(AND(ISNUMBER(D269),ISNUMBER(D147)),IF(ABS(D269-D147)&lt;=0.000000001,0,1),IF(AND(NOT(ISNUMBER(D269)),NOT(ISNUMBER(D147))),IF(D269=D147,0,1),1))</f>
        <v>0</v>
      </c>
      <c r="E304" s="104" t="n">
        <f aca="false">IF(AND(ISNUMBER(E269),ISNUMBER(E147)),IF(ABS(E269-E147)&lt;=0.000000001,0,1),IF(AND(NOT(ISNUMBER(E269)),NOT(ISNUMBER(E147))),IF(E269=E147,0,1),1))</f>
        <v>0</v>
      </c>
      <c r="F304" s="104" t="n">
        <f aca="false">IF(AND(ISNUMBER(F269),ISNUMBER(F147)),IF(ABS(F269-F147)&lt;=0.000000001,0,1),IF(AND(NOT(ISNUMBER(F269)),NOT(ISNUMBER(F147))),IF(F269=F147,0,1),1))</f>
        <v>0</v>
      </c>
      <c r="G304" s="104" t="n">
        <f aca="false">IF(AND(ISNUMBER(G269),ISNUMBER(G147)),IF(ABS(G269-G147)&lt;=0.000000001,0,1),IF(AND(NOT(ISNUMBER(G269)),NOT(ISNUMBER(G147))),IF(G269=G147,0,1),1))</f>
        <v>0</v>
      </c>
      <c r="H304" s="104" t="n">
        <f aca="false">IF(AND(ISNUMBER(H269),ISNUMBER(H147)),IF(ABS(H269-H147)&lt;=0.000000001,0,1),IF(AND(NOT(ISNUMBER(H269)),NOT(ISNUMBER(H147))),IF(H269=H147,0,1),1))</f>
        <v>0</v>
      </c>
      <c r="I304" s="104" t="n">
        <f aca="false">IF(AND(ISNUMBER(I269),ISNUMBER(I147)),IF(ABS(I269-I147)&lt;=0.000000001,0,1),IF(AND(NOT(ISNUMBER(I269)),NOT(ISNUMBER(I147))),IF(I269=I147,0,1),1))</f>
        <v>0</v>
      </c>
      <c r="J304" s="104" t="n">
        <f aca="false">IF(AND(ISNUMBER(J269),ISNUMBER(J147)),IF(ABS(J269-J147)&lt;=0.000000001,0,1),IF(AND(NOT(ISNUMBER(J269)),NOT(ISNUMBER(J147))),IF(J269=J147,0,1),1))</f>
        <v>0</v>
      </c>
      <c r="K304" s="104" t="n">
        <f aca="false">IF(AND(ISNUMBER(K269),ISNUMBER(K147)),IF(ABS(K269-K147)&lt;=0.000000001,0,1),IF(AND(NOT(ISNUMBER(K269)),NOT(ISNUMBER(K147))),IF(K269=K147,0,1),1))</f>
        <v>0</v>
      </c>
      <c r="L304" s="104" t="n">
        <f aca="false">IF(AND(ISNUMBER(L269),ISNUMBER(L147)),IF(ABS(L269-L147)&lt;=0.000000001,0,1),IF(AND(NOT(ISNUMBER(L269)),NOT(ISNUMBER(L147))),IF(L269=L147,0,1),1))</f>
        <v>0</v>
      </c>
      <c r="M304" s="104" t="n">
        <f aca="false">IF(AND(ISNUMBER(M269),ISNUMBER(M147)),IF(ABS(M269-M147)&lt;=0.000000001,0,1),IF(AND(NOT(ISNUMBER(M269)),NOT(ISNUMBER(M147))),IF(M269=M147,0,1),1))</f>
        <v>0</v>
      </c>
      <c r="N304" s="104" t="n">
        <f aca="false">IF(AND(ISNUMBER(N269),ISNUMBER(N147)),IF(ABS(N269-N147)&lt;=0.000000001,0,1),IF(AND(NOT(ISNUMBER(N269)),NOT(ISNUMBER(N147))),IF(N269=N147,0,1),1))</f>
        <v>0</v>
      </c>
      <c r="O304" s="104" t="n">
        <f aca="false">IF(AND(ISNUMBER(O269),ISNUMBER(O147)),IF(ABS(O269-O147)&lt;=0.000000001,0,1),IF(AND(NOT(ISNUMBER(O269)),NOT(ISNUMBER(O147))),IF(O269=O147,0,1),1))</f>
        <v>0</v>
      </c>
      <c r="P304" s="104" t="n">
        <f aca="false">IF(AND(ISNUMBER(P269),ISNUMBER(P147)),IF(ABS(P269-P147)&lt;=0.000000001,0,1),IF(AND(NOT(ISNUMBER(P269)),NOT(ISNUMBER(P147))),IF(P269=P147,0,1),1))</f>
        <v>0</v>
      </c>
      <c r="Q304" s="104" t="n">
        <f aca="false">IF(AND(ISNUMBER(Q269),ISNUMBER(Q147)),IF(ABS(Q269-Q147)&lt;=0.000000001,0,1),IF(AND(NOT(ISNUMBER(Q269)),NOT(ISNUMBER(Q147))),IF(Q269=Q147,0,1),1))</f>
        <v>0</v>
      </c>
    </row>
    <row r="305" customFormat="false" ht="15" hidden="false" customHeight="false" outlineLevel="0" collapsed="false">
      <c r="A305" s="51" t="s">
        <v>2270</v>
      </c>
      <c r="C305" s="104" t="n">
        <f aca="false">IF(AND(ISNUMBER(C273),ISNUMBER(C21)),IF(ABS(C273-C21)&lt;=0.000000001,0,1),IF(AND(NOT(ISNUMBER(C273)),NOT(ISNUMBER(C21))),IF(C273=C21,0,1),1))</f>
        <v>0</v>
      </c>
      <c r="D305" s="104" t="n">
        <f aca="false">IF(AND(ISNUMBER(D273),ISNUMBER(D21)),IF(ABS(D273-D21)&lt;=0.000000001,0,1),IF(AND(NOT(ISNUMBER(D273)),NOT(ISNUMBER(D21))),IF(D273=D21,0,1),1))</f>
        <v>0</v>
      </c>
      <c r="E305" s="104" t="n">
        <f aca="false">IF(AND(ISNUMBER(E273),ISNUMBER(E21)),IF(ABS(E273-E21)&lt;=0.000000001,0,1),IF(AND(NOT(ISNUMBER(E273)),NOT(ISNUMBER(E21))),IF(E273=E21,0,1),1))</f>
        <v>0</v>
      </c>
      <c r="F305" s="104" t="n">
        <f aca="false">IF(AND(ISNUMBER(F273),ISNUMBER(F21)),IF(ABS(F273-F21)&lt;=0.000000001,0,1),IF(AND(NOT(ISNUMBER(F273)),NOT(ISNUMBER(F21))),IF(F273=F21,0,1),1))</f>
        <v>0</v>
      </c>
      <c r="G305" s="104" t="n">
        <f aca="false">IF(AND(ISNUMBER(G273),ISNUMBER(G21)),IF(ABS(G273-G21)&lt;=0.000000001,0,1),IF(AND(NOT(ISNUMBER(G273)),NOT(ISNUMBER(G21))),IF(G273=G21,0,1),1))</f>
        <v>0</v>
      </c>
      <c r="H305" s="104" t="n">
        <f aca="false">IF(AND(ISNUMBER(H273),ISNUMBER(H21)),IF(ABS(H273-H21)&lt;=0.000000001,0,1),IF(AND(NOT(ISNUMBER(H273)),NOT(ISNUMBER(H21))),IF(H273=H21,0,1),1))</f>
        <v>0</v>
      </c>
      <c r="I305" s="104" t="n">
        <f aca="false">IF(AND(ISNUMBER(I273),ISNUMBER(I21)),IF(ABS(I273-I21)&lt;=0.000000001,0,1),IF(AND(NOT(ISNUMBER(I273)),NOT(ISNUMBER(I21))),IF(I273=I21,0,1),1))</f>
        <v>0</v>
      </c>
      <c r="J305" s="104" t="n">
        <f aca="false">IF(AND(ISNUMBER(J273),ISNUMBER(J21)),IF(ABS(J273-J21)&lt;=0.000000001,0,1),IF(AND(NOT(ISNUMBER(J273)),NOT(ISNUMBER(J21))),IF(J273=J21,0,1),1))</f>
        <v>0</v>
      </c>
      <c r="K305" s="104" t="n">
        <f aca="false">IF(AND(ISNUMBER(K273),ISNUMBER(K21)),IF(ABS(K273-K21)&lt;=0.000000001,0,1),IF(AND(NOT(ISNUMBER(K273)),NOT(ISNUMBER(K21))),IF(K273=K21,0,1),1))</f>
        <v>0</v>
      </c>
      <c r="L305" s="104" t="n">
        <f aca="false">IF(AND(ISNUMBER(L273),ISNUMBER(L21)),IF(ABS(L273-L21)&lt;=0.000000001,0,1),IF(AND(NOT(ISNUMBER(L273)),NOT(ISNUMBER(L21))),IF(L273=L21,0,1),1))</f>
        <v>0</v>
      </c>
      <c r="M305" s="104" t="n">
        <f aca="false">IF(AND(ISNUMBER(M273),ISNUMBER(M21)),IF(ABS(M273-M21)&lt;=0.000000001,0,1),IF(AND(NOT(ISNUMBER(M273)),NOT(ISNUMBER(M21))),IF(M273=M21,0,1),1))</f>
        <v>0</v>
      </c>
      <c r="N305" s="104" t="n">
        <f aca="false">IF(AND(ISNUMBER(N273),ISNUMBER(N21)),IF(ABS(N273-N21)&lt;=0.000000001,0,1),IF(AND(NOT(ISNUMBER(N273)),NOT(ISNUMBER(N21))),IF(N273=N21,0,1),1))</f>
        <v>0</v>
      </c>
      <c r="O305" s="104" t="n">
        <f aca="false">IF(AND(ISNUMBER(O273),ISNUMBER(O21)),IF(ABS(O273-O21)&lt;=0.000000001,0,1),IF(AND(NOT(ISNUMBER(O273)),NOT(ISNUMBER(O21))),IF(O273=O21,0,1),1))</f>
        <v>0</v>
      </c>
      <c r="P305" s="104" t="n">
        <f aca="false">IF(AND(ISNUMBER(P273),ISNUMBER(P21)),IF(ABS(P273-P21)&lt;=0.000000001,0,1),IF(AND(NOT(ISNUMBER(P273)),NOT(ISNUMBER(P21))),IF(P273=P21,0,1),1))</f>
        <v>0</v>
      </c>
      <c r="Q305" s="104" t="n">
        <f aca="false">IF(AND(ISNUMBER(Q273),ISNUMBER(Q21)),IF(ABS(Q273-Q21)&lt;=0.000000001,0,1),IF(AND(NOT(ISNUMBER(Q273)),NOT(ISNUMBER(Q21))),IF(Q273=Q21,0,1),1))</f>
        <v>0</v>
      </c>
    </row>
    <row r="306" customFormat="false" ht="15" hidden="false" customHeight="false" outlineLevel="0" collapsed="false">
      <c r="A306" s="51" t="s">
        <v>2271</v>
      </c>
      <c r="C306" s="82" t="n">
        <f aca="false">IF(AND(ISNUMBER(C275),ISNUMBER(Interface_Prod!C21)),IF(ABS(C275-Interface_Prod!C21)&lt;=0.000000001,0,1),IF(AND(NOT(ISNUMBER(C275)),NOT(ISNUMBER(Interface_Prod!C21))),IF(C275=Interface_Prod!C21,0,1),1))</f>
        <v>0</v>
      </c>
      <c r="D306" s="82" t="n">
        <f aca="false">IF(AND(ISNUMBER(D275),ISNUMBER(Interface_Prod!D21)),IF(ABS(D275-Interface_Prod!D21)&lt;=0.000000001,0,1),IF(AND(NOT(ISNUMBER(D275)),NOT(ISNUMBER(Interface_Prod!D21))),IF(D275=Interface_Prod!D21,0,1),1))</f>
        <v>0</v>
      </c>
      <c r="E306" s="82" t="n">
        <f aca="false">IF(AND(ISNUMBER(E275),ISNUMBER(Interface_Prod!E21)),IF(ABS(E275-Interface_Prod!E21)&lt;=0.000000001,0,1),IF(AND(NOT(ISNUMBER(E275)),NOT(ISNUMBER(Interface_Prod!E21))),IF(E275=Interface_Prod!E21,0,1),1))</f>
        <v>0</v>
      </c>
      <c r="F306" s="82" t="n">
        <f aca="false">IF(AND(ISNUMBER(F275),ISNUMBER(Interface_Prod!F21)),IF(ABS(F275-Interface_Prod!F21)&lt;=0.000000001,0,1),IF(AND(NOT(ISNUMBER(F275)),NOT(ISNUMBER(Interface_Prod!F21))),IF(F275=Interface_Prod!F21,0,1),1))</f>
        <v>0</v>
      </c>
      <c r="G306" s="82" t="n">
        <f aca="false">IF(AND(ISNUMBER(G275),ISNUMBER(Interface_Prod!G21)),IF(ABS(G275-Interface_Prod!G21)&lt;=0.000000001,0,1),IF(AND(NOT(ISNUMBER(G275)),NOT(ISNUMBER(Interface_Prod!G21))),IF(G275=Interface_Prod!G21,0,1),1))</f>
        <v>0</v>
      </c>
      <c r="H306" s="82" t="n">
        <f aca="false">IF(AND(ISNUMBER(H275),ISNUMBER(Interface_Prod!H21)),IF(ABS(H275-Interface_Prod!H21)&lt;=0.000000001,0,1),IF(AND(NOT(ISNUMBER(H275)),NOT(ISNUMBER(Interface_Prod!H21))),IF(H275=Interface_Prod!H21,0,1),1))</f>
        <v>0</v>
      </c>
      <c r="I306" s="82" t="n">
        <f aca="false">IF(AND(ISNUMBER(I275),ISNUMBER(Interface_Prod!I21)),IF(ABS(I275-Interface_Prod!I21)&lt;=0.000000001,0,1),IF(AND(NOT(ISNUMBER(I275)),NOT(ISNUMBER(Interface_Prod!I21))),IF(I275=Interface_Prod!I21,0,1),1))</f>
        <v>0</v>
      </c>
      <c r="J306" s="82" t="n">
        <f aca="false">IF(AND(ISNUMBER(J275),ISNUMBER(Interface_Prod!J21)),IF(ABS(J275-Interface_Prod!J21)&lt;=0.000000001,0,1),IF(AND(NOT(ISNUMBER(J275)),NOT(ISNUMBER(Interface_Prod!J21))),IF(J275=Interface_Prod!J21,0,1),1))</f>
        <v>0</v>
      </c>
      <c r="K306" s="82" t="n">
        <f aca="false">IF(AND(ISNUMBER(K275),ISNUMBER(Interface_Prod!K21)),IF(ABS(K275-Interface_Prod!K21)&lt;=0.000000001,0,1),IF(AND(NOT(ISNUMBER(K275)),NOT(ISNUMBER(Interface_Prod!K21))),IF(K275=Interface_Prod!K21,0,1),1))</f>
        <v>0</v>
      </c>
      <c r="L306" s="82" t="n">
        <f aca="false">IF(AND(ISNUMBER(L275),ISNUMBER(Interface_Prod!L21)),IF(ABS(L275-Interface_Prod!L21)&lt;=0.000000001,0,1),IF(AND(NOT(ISNUMBER(L275)),NOT(ISNUMBER(Interface_Prod!L21))),IF(L275=Interface_Prod!L21,0,1),1))</f>
        <v>0</v>
      </c>
      <c r="M306" s="82" t="n">
        <f aca="false">IF(AND(ISNUMBER(M275),ISNUMBER(Interface_Prod!M21)),IF(ABS(M275-Interface_Prod!M21)&lt;=0.000000001,0,1),IF(AND(NOT(ISNUMBER(M275)),NOT(ISNUMBER(Interface_Prod!M21))),IF(M275=Interface_Prod!M21,0,1),1))</f>
        <v>0</v>
      </c>
      <c r="N306" s="82" t="n">
        <f aca="false">IF(AND(ISNUMBER(N275),ISNUMBER(Interface_Prod!N21)),IF(ABS(N275-Interface_Prod!N21)&lt;=0.000000001,0,1),IF(AND(NOT(ISNUMBER(N275)),NOT(ISNUMBER(Interface_Prod!N21))),IF(N275=Interface_Prod!N21,0,1),1))</f>
        <v>0</v>
      </c>
      <c r="O306" s="82" t="n">
        <f aca="false">IF(AND(ISNUMBER(O275),ISNUMBER(Interface_Prod!O21)),IF(ABS(O275-Interface_Prod!O21)&lt;=0.000000001,0,1),IF(AND(NOT(ISNUMBER(O275)),NOT(ISNUMBER(Interface_Prod!O21))),IF(O275=Interface_Prod!O21,0,1),1))</f>
        <v>0</v>
      </c>
      <c r="P306" s="82" t="n">
        <f aca="false">IF(AND(ISNUMBER(P275),ISNUMBER(Interface_Prod!P21)),IF(ABS(P275-Interface_Prod!P21)&lt;=0.000000001,0,1),IF(AND(NOT(ISNUMBER(P275)),NOT(ISNUMBER(Interface_Prod!P21))),IF(P275=Interface_Prod!P21,0,1),1))</f>
        <v>0</v>
      </c>
      <c r="Q306" s="82" t="n">
        <f aca="false">IF(AND(ISNUMBER(Q275),ISNUMBER(Interface_Prod!Q21)),IF(ABS(Q275-Interface_Prod!Q21)&lt;=0.000000001,0,1),IF(AND(NOT(ISNUMBER(Q275)),NOT(ISNUMBER(Interface_Prod!Q21))),IF(Q275=Interface_Prod!Q21,0,1),1))</f>
        <v>0</v>
      </c>
    </row>
    <row r="307" customFormat="false" ht="15" hidden="false" customHeight="false" outlineLevel="0" collapsed="false">
      <c r="A307" s="51" t="s">
        <v>2272</v>
      </c>
      <c r="C307" s="104" t="n">
        <f aca="false">IF(AND(ISNUMBER(C278),ISNUMBER(C31)),IF(ABS(C278-C31)&lt;=0.000000001,0,1),IF(AND(NOT(ISNUMBER(C278)),NOT(ISNUMBER(C31))),IF(C278=C31,0,1),1))</f>
        <v>0</v>
      </c>
      <c r="D307" s="104" t="n">
        <f aca="false">IF(AND(ISNUMBER(D278),ISNUMBER(D31)),IF(ABS(D278-D31)&lt;=0.000000001,0,1),IF(AND(NOT(ISNUMBER(D278)),NOT(ISNUMBER(D31))),IF(D278=D31,0,1),1))</f>
        <v>0</v>
      </c>
      <c r="E307" s="104" t="n">
        <f aca="false">IF(AND(ISNUMBER(E278),ISNUMBER(E31)),IF(ABS(E278-E31)&lt;=0.000000001,0,1),IF(AND(NOT(ISNUMBER(E278)),NOT(ISNUMBER(E31))),IF(E278=E31,0,1),1))</f>
        <v>0</v>
      </c>
      <c r="F307" s="104" t="n">
        <f aca="false">IF(AND(ISNUMBER(F278),ISNUMBER(F31)),IF(ABS(F278-F31)&lt;=0.000000001,0,1),IF(AND(NOT(ISNUMBER(F278)),NOT(ISNUMBER(F31))),IF(F278=F31,0,1),1))</f>
        <v>0</v>
      </c>
      <c r="G307" s="104" t="n">
        <f aca="false">IF(AND(ISNUMBER(G278),ISNUMBER(G31)),IF(ABS(G278-G31)&lt;=0.000000001,0,1),IF(AND(NOT(ISNUMBER(G278)),NOT(ISNUMBER(G31))),IF(G278=G31,0,1),1))</f>
        <v>0</v>
      </c>
      <c r="H307" s="104" t="n">
        <f aca="false">IF(AND(ISNUMBER(H278),ISNUMBER(H31)),IF(ABS(H278-H31)&lt;=0.000000001,0,1),IF(AND(NOT(ISNUMBER(H278)),NOT(ISNUMBER(H31))),IF(H278=H31,0,1),1))</f>
        <v>0</v>
      </c>
      <c r="I307" s="104" t="n">
        <f aca="false">IF(AND(ISNUMBER(I278),ISNUMBER(I31)),IF(ABS(I278-I31)&lt;=0.000000001,0,1),IF(AND(NOT(ISNUMBER(I278)),NOT(ISNUMBER(I31))),IF(I278=I31,0,1),1))</f>
        <v>0</v>
      </c>
      <c r="J307" s="104" t="n">
        <f aca="false">IF(AND(ISNUMBER(J278),ISNUMBER(J31)),IF(ABS(J278-J31)&lt;=0.000000001,0,1),IF(AND(NOT(ISNUMBER(J278)),NOT(ISNUMBER(J31))),IF(J278=J31,0,1),1))</f>
        <v>0</v>
      </c>
      <c r="K307" s="104" t="n">
        <f aca="false">IF(AND(ISNUMBER(K278),ISNUMBER(K31)),IF(ABS(K278-K31)&lt;=0.000000001,0,1),IF(AND(NOT(ISNUMBER(K278)),NOT(ISNUMBER(K31))),IF(K278=K31,0,1),1))</f>
        <v>0</v>
      </c>
      <c r="L307" s="104" t="n">
        <f aca="false">IF(AND(ISNUMBER(L278),ISNUMBER(L31)),IF(ABS(L278-L31)&lt;=0.000000001,0,1),IF(AND(NOT(ISNUMBER(L278)),NOT(ISNUMBER(L31))),IF(L278=L31,0,1),1))</f>
        <v>0</v>
      </c>
      <c r="M307" s="104" t="n">
        <f aca="false">IF(AND(ISNUMBER(M278),ISNUMBER(M31)),IF(ABS(M278-M31)&lt;=0.000000001,0,1),IF(AND(NOT(ISNUMBER(M278)),NOT(ISNUMBER(M31))),IF(M278=M31,0,1),1))</f>
        <v>0</v>
      </c>
      <c r="N307" s="104" t="n">
        <f aca="false">IF(AND(ISNUMBER(N278),ISNUMBER(N31)),IF(ABS(N278-N31)&lt;=0.000000001,0,1),IF(AND(NOT(ISNUMBER(N278)),NOT(ISNUMBER(N31))),IF(N278=N31,0,1),1))</f>
        <v>0</v>
      </c>
      <c r="O307" s="104" t="n">
        <f aca="false">IF(AND(ISNUMBER(O278),ISNUMBER(O31)),IF(ABS(O278-O31)&lt;=0.000000001,0,1),IF(AND(NOT(ISNUMBER(O278)),NOT(ISNUMBER(O31))),IF(O278=O31,0,1),1))</f>
        <v>0</v>
      </c>
      <c r="P307" s="104" t="n">
        <f aca="false">IF(AND(ISNUMBER(P278),ISNUMBER(P31)),IF(ABS(P278-P31)&lt;=0.000000001,0,1),IF(AND(NOT(ISNUMBER(P278)),NOT(ISNUMBER(P31))),IF(P278=P31,0,1),1))</f>
        <v>0</v>
      </c>
      <c r="Q307" s="104" t="n">
        <f aca="false">IF(AND(ISNUMBER(Q278),ISNUMBER(Q31)),IF(ABS(Q278-Q31)&lt;=0.000000001,0,1),IF(AND(NOT(ISNUMBER(Q278)),NOT(ISNUMBER(Q31))),IF(Q278=Q31,0,1),1))</f>
        <v>0</v>
      </c>
    </row>
    <row r="308" customFormat="false" ht="15" hidden="false" customHeight="false" outlineLevel="0" collapsed="false">
      <c r="A308" s="51" t="s">
        <v>2273</v>
      </c>
      <c r="C308" s="82" t="n">
        <f aca="false">IF(AND(ISNUMBER(C280),ISNUMBER(Interface_Prod!C31)),IF(ABS(C280-Interface_Prod!C31)&lt;=0.000000001,0,1),IF(AND(NOT(ISNUMBER(C280)),NOT(ISNUMBER(Interface_Prod!C31))),IF(C280=Interface_Prod!C31,0,1),1))</f>
        <v>0</v>
      </c>
      <c r="D308" s="82" t="n">
        <f aca="false">IF(AND(ISNUMBER(D280),ISNUMBER(Interface_Prod!D31)),IF(ABS(D280-Interface_Prod!D31)&lt;=0.000000001,0,1),IF(AND(NOT(ISNUMBER(D280)),NOT(ISNUMBER(Interface_Prod!D31))),IF(D280=Interface_Prod!D31,0,1),1))</f>
        <v>0</v>
      </c>
      <c r="E308" s="82" t="n">
        <f aca="false">IF(AND(ISNUMBER(E280),ISNUMBER(Interface_Prod!E31)),IF(ABS(E280-Interface_Prod!E31)&lt;=0.000000001,0,1),IF(AND(NOT(ISNUMBER(E280)),NOT(ISNUMBER(Interface_Prod!E31))),IF(E280=Interface_Prod!E31,0,1),1))</f>
        <v>0</v>
      </c>
      <c r="F308" s="82" t="n">
        <f aca="false">IF(AND(ISNUMBER(F280),ISNUMBER(Interface_Prod!F31)),IF(ABS(F280-Interface_Prod!F31)&lt;=0.000000001,0,1),IF(AND(NOT(ISNUMBER(F280)),NOT(ISNUMBER(Interface_Prod!F31))),IF(F280=Interface_Prod!F31,0,1),1))</f>
        <v>0</v>
      </c>
      <c r="G308" s="82" t="n">
        <f aca="false">IF(AND(ISNUMBER(G280),ISNUMBER(Interface_Prod!G31)),IF(ABS(G280-Interface_Prod!G31)&lt;=0.000000001,0,1),IF(AND(NOT(ISNUMBER(G280)),NOT(ISNUMBER(Interface_Prod!G31))),IF(G280=Interface_Prod!G31,0,1),1))</f>
        <v>0</v>
      </c>
      <c r="H308" s="82" t="n">
        <f aca="false">IF(AND(ISNUMBER(H280),ISNUMBER(Interface_Prod!H31)),IF(ABS(H280-Interface_Prod!H31)&lt;=0.000000001,0,1),IF(AND(NOT(ISNUMBER(H280)),NOT(ISNUMBER(Interface_Prod!H31))),IF(H280=Interface_Prod!H31,0,1),1))</f>
        <v>0</v>
      </c>
      <c r="I308" s="82" t="n">
        <f aca="false">IF(AND(ISNUMBER(I280),ISNUMBER(Interface_Prod!I31)),IF(ABS(I280-Interface_Prod!I31)&lt;=0.000000001,0,1),IF(AND(NOT(ISNUMBER(I280)),NOT(ISNUMBER(Interface_Prod!I31))),IF(I280=Interface_Prod!I31,0,1),1))</f>
        <v>0</v>
      </c>
      <c r="J308" s="82" t="n">
        <f aca="false">IF(AND(ISNUMBER(J280),ISNUMBER(Interface_Prod!J31)),IF(ABS(J280-Interface_Prod!J31)&lt;=0.000000001,0,1),IF(AND(NOT(ISNUMBER(J280)),NOT(ISNUMBER(Interface_Prod!J31))),IF(J280=Interface_Prod!J31,0,1),1))</f>
        <v>0</v>
      </c>
      <c r="K308" s="82" t="n">
        <f aca="false">IF(AND(ISNUMBER(K280),ISNUMBER(Interface_Prod!K31)),IF(ABS(K280-Interface_Prod!K31)&lt;=0.000000001,0,1),IF(AND(NOT(ISNUMBER(K280)),NOT(ISNUMBER(Interface_Prod!K31))),IF(K280=Interface_Prod!K31,0,1),1))</f>
        <v>0</v>
      </c>
      <c r="L308" s="82" t="n">
        <f aca="false">IF(AND(ISNUMBER(L280),ISNUMBER(Interface_Prod!L31)),IF(ABS(L280-Interface_Prod!L31)&lt;=0.000000001,0,1),IF(AND(NOT(ISNUMBER(L280)),NOT(ISNUMBER(Interface_Prod!L31))),IF(L280=Interface_Prod!L31,0,1),1))</f>
        <v>0</v>
      </c>
      <c r="M308" s="82" t="n">
        <f aca="false">IF(AND(ISNUMBER(M280),ISNUMBER(Interface_Prod!M31)),IF(ABS(M280-Interface_Prod!M31)&lt;=0.000000001,0,1),IF(AND(NOT(ISNUMBER(M280)),NOT(ISNUMBER(Interface_Prod!M31))),IF(M280=Interface_Prod!M31,0,1),1))</f>
        <v>0</v>
      </c>
      <c r="N308" s="82" t="n">
        <f aca="false">IF(AND(ISNUMBER(N280),ISNUMBER(Interface_Prod!N31)),IF(ABS(N280-Interface_Prod!N31)&lt;=0.000000001,0,1),IF(AND(NOT(ISNUMBER(N280)),NOT(ISNUMBER(Interface_Prod!N31))),IF(N280=Interface_Prod!N31,0,1),1))</f>
        <v>0</v>
      </c>
      <c r="O308" s="82" t="n">
        <f aca="false">IF(AND(ISNUMBER(O280),ISNUMBER(Interface_Prod!O31)),IF(ABS(O280-Interface_Prod!O31)&lt;=0.000000001,0,1),IF(AND(NOT(ISNUMBER(O280)),NOT(ISNUMBER(Interface_Prod!O31))),IF(O280=Interface_Prod!O31,0,1),1))</f>
        <v>0</v>
      </c>
      <c r="P308" s="82" t="n">
        <f aca="false">IF(AND(ISNUMBER(P280),ISNUMBER(Interface_Prod!P31)),IF(ABS(P280-Interface_Prod!P31)&lt;=0.000000001,0,1),IF(AND(NOT(ISNUMBER(P280)),NOT(ISNUMBER(Interface_Prod!P31))),IF(P280=Interface_Prod!P31,0,1),1))</f>
        <v>0</v>
      </c>
      <c r="Q308" s="82" t="n">
        <f aca="false">IF(AND(ISNUMBER(Q280),ISNUMBER(Interface_Prod!Q31)),IF(ABS(Q280-Interface_Prod!Q31)&lt;=0.000000001,0,1),IF(AND(NOT(ISNUMBER(Q280)),NOT(ISNUMBER(Interface_Prod!Q31))),IF(Q280=Interface_Prod!Q31,0,1),1))</f>
        <v>0</v>
      </c>
    </row>
    <row r="309" customFormat="false" ht="15" hidden="false" customHeight="false" outlineLevel="0" collapsed="false">
      <c r="A309" s="51" t="s">
        <v>2274</v>
      </c>
      <c r="C309" s="104" t="n">
        <f aca="false">IF(AND(ISNUMBER(C283),ISNUMBER(C41)),IF(ABS(C283-C41)&lt;=0.000000001,0,1),IF(AND(NOT(ISNUMBER(C283)),NOT(ISNUMBER(C41))),IF(C283=C41,0,1),1))</f>
        <v>0</v>
      </c>
      <c r="D309" s="104" t="n">
        <f aca="false">IF(AND(ISNUMBER(D283),ISNUMBER(D41)),IF(ABS(D283-D41)&lt;=0.000000001,0,1),IF(AND(NOT(ISNUMBER(D283)),NOT(ISNUMBER(D41))),IF(D283=D41,0,1),1))</f>
        <v>0</v>
      </c>
      <c r="E309" s="104" t="n">
        <f aca="false">IF(AND(ISNUMBER(E283),ISNUMBER(E41)),IF(ABS(E283-E41)&lt;=0.000000001,0,1),IF(AND(NOT(ISNUMBER(E283)),NOT(ISNUMBER(E41))),IF(E283=E41,0,1),1))</f>
        <v>0</v>
      </c>
      <c r="F309" s="104" t="n">
        <f aca="false">IF(AND(ISNUMBER(F283),ISNUMBER(F41)),IF(ABS(F283-F41)&lt;=0.000000001,0,1),IF(AND(NOT(ISNUMBER(F283)),NOT(ISNUMBER(F41))),IF(F283=F41,0,1),1))</f>
        <v>0</v>
      </c>
      <c r="G309" s="104" t="n">
        <f aca="false">IF(AND(ISNUMBER(G283),ISNUMBER(G41)),IF(ABS(G283-G41)&lt;=0.000000001,0,1),IF(AND(NOT(ISNUMBER(G283)),NOT(ISNUMBER(G41))),IF(G283=G41,0,1),1))</f>
        <v>0</v>
      </c>
      <c r="H309" s="104" t="n">
        <f aca="false">IF(AND(ISNUMBER(H283),ISNUMBER(H41)),IF(ABS(H283-H41)&lt;=0.000000001,0,1),IF(AND(NOT(ISNUMBER(H283)),NOT(ISNUMBER(H41))),IF(H283=H41,0,1),1))</f>
        <v>0</v>
      </c>
      <c r="I309" s="104" t="n">
        <f aca="false">IF(AND(ISNUMBER(I283),ISNUMBER(I41)),IF(ABS(I283-I41)&lt;=0.000000001,0,1),IF(AND(NOT(ISNUMBER(I283)),NOT(ISNUMBER(I41))),IF(I283=I41,0,1),1))</f>
        <v>0</v>
      </c>
      <c r="J309" s="104" t="n">
        <f aca="false">IF(AND(ISNUMBER(J283),ISNUMBER(J41)),IF(ABS(J283-J41)&lt;=0.000000001,0,1),IF(AND(NOT(ISNUMBER(J283)),NOT(ISNUMBER(J41))),IF(J283=J41,0,1),1))</f>
        <v>0</v>
      </c>
      <c r="K309" s="104" t="n">
        <f aca="false">IF(AND(ISNUMBER(K283),ISNUMBER(K41)),IF(ABS(K283-K41)&lt;=0.000000001,0,1),IF(AND(NOT(ISNUMBER(K283)),NOT(ISNUMBER(K41))),IF(K283=K41,0,1),1))</f>
        <v>0</v>
      </c>
      <c r="L309" s="104" t="n">
        <f aca="false">IF(AND(ISNUMBER(L283),ISNUMBER(L41)),IF(ABS(L283-L41)&lt;=0.000000001,0,1),IF(AND(NOT(ISNUMBER(L283)),NOT(ISNUMBER(L41))),IF(L283=L41,0,1),1))</f>
        <v>0</v>
      </c>
      <c r="M309" s="104" t="n">
        <f aca="false">IF(AND(ISNUMBER(M283),ISNUMBER(M41)),IF(ABS(M283-M41)&lt;=0.000000001,0,1),IF(AND(NOT(ISNUMBER(M283)),NOT(ISNUMBER(M41))),IF(M283=M41,0,1),1))</f>
        <v>0</v>
      </c>
      <c r="N309" s="104" t="n">
        <f aca="false">IF(AND(ISNUMBER(N283),ISNUMBER(N41)),IF(ABS(N283-N41)&lt;=0.000000001,0,1),IF(AND(NOT(ISNUMBER(N283)),NOT(ISNUMBER(N41))),IF(N283=N41,0,1),1))</f>
        <v>0</v>
      </c>
      <c r="O309" s="104" t="n">
        <f aca="false">IF(AND(ISNUMBER(O283),ISNUMBER(O41)),IF(ABS(O283-O41)&lt;=0.000000001,0,1),IF(AND(NOT(ISNUMBER(O283)),NOT(ISNUMBER(O41))),IF(O283=O41,0,1),1))</f>
        <v>0</v>
      </c>
      <c r="P309" s="104" t="n">
        <f aca="false">IF(AND(ISNUMBER(P283),ISNUMBER(P41)),IF(ABS(P283-P41)&lt;=0.000000001,0,1),IF(AND(NOT(ISNUMBER(P283)),NOT(ISNUMBER(P41))),IF(P283=P41,0,1),1))</f>
        <v>0</v>
      </c>
      <c r="Q309" s="104" t="n">
        <f aca="false">IF(AND(ISNUMBER(Q283),ISNUMBER(Q41)),IF(ABS(Q283-Q41)&lt;=0.000000001,0,1),IF(AND(NOT(ISNUMBER(Q283)),NOT(ISNUMBER(Q41))),IF(Q283=Q41,0,1),1))</f>
        <v>0</v>
      </c>
    </row>
    <row r="310" customFormat="false" ht="15" hidden="false" customHeight="false" outlineLevel="0" collapsed="false">
      <c r="A310" s="51" t="s">
        <v>2275</v>
      </c>
      <c r="C310" s="82" t="n">
        <f aca="false">IF(AND(ISNUMBER(C285),ISNUMBER(Interface_Prod!C41)),IF(ABS(C285-Interface_Prod!C41)&lt;=0.000000001,0,1),IF(AND(NOT(ISNUMBER(C285)),NOT(ISNUMBER(Interface_Prod!C41))),IF(C285=Interface_Prod!C41,0,1),1))</f>
        <v>0</v>
      </c>
      <c r="D310" s="82" t="n">
        <f aca="false">IF(AND(ISNUMBER(D285),ISNUMBER(Interface_Prod!D41)),IF(ABS(D285-Interface_Prod!D41)&lt;=0.000000001,0,1),IF(AND(NOT(ISNUMBER(D285)),NOT(ISNUMBER(Interface_Prod!D41))),IF(D285=Interface_Prod!D41,0,1),1))</f>
        <v>0</v>
      </c>
      <c r="E310" s="82" t="n">
        <f aca="false">IF(AND(ISNUMBER(E285),ISNUMBER(Interface_Prod!E41)),IF(ABS(E285-Interface_Prod!E41)&lt;=0.000000001,0,1),IF(AND(NOT(ISNUMBER(E285)),NOT(ISNUMBER(Interface_Prod!E41))),IF(E285=Interface_Prod!E41,0,1),1))</f>
        <v>0</v>
      </c>
      <c r="F310" s="82" t="n">
        <f aca="false">IF(AND(ISNUMBER(F285),ISNUMBER(Interface_Prod!F41)),IF(ABS(F285-Interface_Prod!F41)&lt;=0.000000001,0,1),IF(AND(NOT(ISNUMBER(F285)),NOT(ISNUMBER(Interface_Prod!F41))),IF(F285=Interface_Prod!F41,0,1),1))</f>
        <v>0</v>
      </c>
      <c r="G310" s="82" t="n">
        <f aca="false">IF(AND(ISNUMBER(G285),ISNUMBER(Interface_Prod!G41)),IF(ABS(G285-Interface_Prod!G41)&lt;=0.000000001,0,1),IF(AND(NOT(ISNUMBER(G285)),NOT(ISNUMBER(Interface_Prod!G41))),IF(G285=Interface_Prod!G41,0,1),1))</f>
        <v>0</v>
      </c>
      <c r="H310" s="82" t="n">
        <f aca="false">IF(AND(ISNUMBER(H285),ISNUMBER(Interface_Prod!H41)),IF(ABS(H285-Interface_Prod!H41)&lt;=0.000000001,0,1),IF(AND(NOT(ISNUMBER(H285)),NOT(ISNUMBER(Interface_Prod!H41))),IF(H285=Interface_Prod!H41,0,1),1))</f>
        <v>0</v>
      </c>
      <c r="I310" s="82" t="n">
        <f aca="false">IF(AND(ISNUMBER(I285),ISNUMBER(Interface_Prod!I41)),IF(ABS(I285-Interface_Prod!I41)&lt;=0.000000001,0,1),IF(AND(NOT(ISNUMBER(I285)),NOT(ISNUMBER(Interface_Prod!I41))),IF(I285=Interface_Prod!I41,0,1),1))</f>
        <v>0</v>
      </c>
      <c r="J310" s="82" t="n">
        <f aca="false">IF(AND(ISNUMBER(J285),ISNUMBER(Interface_Prod!J41)),IF(ABS(J285-Interface_Prod!J41)&lt;=0.000000001,0,1),IF(AND(NOT(ISNUMBER(J285)),NOT(ISNUMBER(Interface_Prod!J41))),IF(J285=Interface_Prod!J41,0,1),1))</f>
        <v>0</v>
      </c>
      <c r="K310" s="82" t="n">
        <f aca="false">IF(AND(ISNUMBER(K285),ISNUMBER(Interface_Prod!K41)),IF(ABS(K285-Interface_Prod!K41)&lt;=0.000000001,0,1),IF(AND(NOT(ISNUMBER(K285)),NOT(ISNUMBER(Interface_Prod!K41))),IF(K285=Interface_Prod!K41,0,1),1))</f>
        <v>0</v>
      </c>
      <c r="L310" s="82" t="n">
        <f aca="false">IF(AND(ISNUMBER(L285),ISNUMBER(Interface_Prod!L41)),IF(ABS(L285-Interface_Prod!L41)&lt;=0.000000001,0,1),IF(AND(NOT(ISNUMBER(L285)),NOT(ISNUMBER(Interface_Prod!L41))),IF(L285=Interface_Prod!L41,0,1),1))</f>
        <v>0</v>
      </c>
      <c r="M310" s="82" t="n">
        <f aca="false">IF(AND(ISNUMBER(M285),ISNUMBER(Interface_Prod!M41)),IF(ABS(M285-Interface_Prod!M41)&lt;=0.000000001,0,1),IF(AND(NOT(ISNUMBER(M285)),NOT(ISNUMBER(Interface_Prod!M41))),IF(M285=Interface_Prod!M41,0,1),1))</f>
        <v>0</v>
      </c>
      <c r="N310" s="82" t="n">
        <f aca="false">IF(AND(ISNUMBER(N285),ISNUMBER(Interface_Prod!N41)),IF(ABS(N285-Interface_Prod!N41)&lt;=0.000000001,0,1),IF(AND(NOT(ISNUMBER(N285)),NOT(ISNUMBER(Interface_Prod!N41))),IF(N285=Interface_Prod!N41,0,1),1))</f>
        <v>0</v>
      </c>
      <c r="O310" s="82" t="n">
        <f aca="false">IF(AND(ISNUMBER(O285),ISNUMBER(Interface_Prod!O41)),IF(ABS(O285-Interface_Prod!O41)&lt;=0.000000001,0,1),IF(AND(NOT(ISNUMBER(O285)),NOT(ISNUMBER(Interface_Prod!O41))),IF(O285=Interface_Prod!O41,0,1),1))</f>
        <v>0</v>
      </c>
      <c r="P310" s="82" t="n">
        <f aca="false">IF(AND(ISNUMBER(P285),ISNUMBER(Interface_Prod!P41)),IF(ABS(P285-Interface_Prod!P41)&lt;=0.000000001,0,1),IF(AND(NOT(ISNUMBER(P285)),NOT(ISNUMBER(Interface_Prod!P41))),IF(P285=Interface_Prod!P41,0,1),1))</f>
        <v>0</v>
      </c>
      <c r="Q310" s="82" t="n">
        <f aca="false">IF(AND(ISNUMBER(Q285),ISNUMBER(Interface_Prod!Q41)),IF(ABS(Q285-Interface_Prod!Q41)&lt;=0.000000001,0,1),IF(AND(NOT(ISNUMBER(Q285)),NOT(ISNUMBER(Interface_Prod!Q41))),IF(Q285=Interface_Prod!Q41,0,1),1))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0" t="s">
        <v>2276</v>
      </c>
    </row>
    <row r="2" customFormat="false" ht="15" hidden="false" customHeight="false" outlineLevel="0" collapsed="false">
      <c r="A2" s="66" t="s">
        <v>2277</v>
      </c>
    </row>
    <row r="4" customFormat="false" ht="29.85" hidden="false" customHeight="false" outlineLevel="0" collapsed="false">
      <c r="A4" s="77" t="s">
        <v>2278</v>
      </c>
      <c r="B4" s="76" t="s">
        <v>2279</v>
      </c>
      <c r="C4" s="76" t="s">
        <v>2280</v>
      </c>
      <c r="D4" s="76" t="s">
        <v>2281</v>
      </c>
      <c r="E4" s="76" t="s">
        <v>1115</v>
      </c>
      <c r="F4" s="76" t="s">
        <v>1116</v>
      </c>
      <c r="G4" s="76" t="s">
        <v>63</v>
      </c>
      <c r="H4" s="76" t="s">
        <v>2282</v>
      </c>
      <c r="I4" s="76" t="s">
        <v>2283</v>
      </c>
      <c r="J4" s="76" t="s">
        <v>2284</v>
      </c>
      <c r="K4" s="76" t="s">
        <v>2285</v>
      </c>
      <c r="L4" s="76" t="s">
        <v>2286</v>
      </c>
      <c r="M4" s="76" t="s">
        <v>2287</v>
      </c>
      <c r="N4" s="76" t="s">
        <v>2288</v>
      </c>
      <c r="O4" s="76" t="s">
        <v>2289</v>
      </c>
      <c r="P4" s="76" t="s">
        <v>508</v>
      </c>
      <c r="Q4" s="76" t="s">
        <v>38</v>
      </c>
      <c r="R4" s="76" t="s">
        <v>2290</v>
      </c>
      <c r="S4" s="76" t="s">
        <v>2291</v>
      </c>
    </row>
    <row r="5" customFormat="false" ht="29.85" hidden="false" customHeight="false" outlineLevel="0" collapsed="false">
      <c r="A5" s="54" t="s">
        <v>2292</v>
      </c>
      <c r="B5" s="5" t="s">
        <v>2293</v>
      </c>
      <c r="C5" s="5" t="s">
        <v>2294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2295</v>
      </c>
      <c r="H5" s="5" t="s">
        <v>2296</v>
      </c>
      <c r="I5" s="6" t="s">
        <v>2297</v>
      </c>
      <c r="J5" s="5" t="s">
        <v>2298</v>
      </c>
      <c r="K5" s="5" t="s">
        <v>2299</v>
      </c>
      <c r="L5" s="54" t="s">
        <v>587</v>
      </c>
      <c r="M5" s="108" t="s">
        <v>587</v>
      </c>
      <c r="N5" s="108" t="s">
        <v>587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2292</v>
      </c>
      <c r="R5" s="54" t="s">
        <v>2300</v>
      </c>
      <c r="S5" s="6" t="s">
        <v>587</v>
      </c>
    </row>
    <row r="6" customFormat="false" ht="29.85" hidden="false" customHeight="false" outlineLevel="0" collapsed="false">
      <c r="A6" s="54" t="s">
        <v>2301</v>
      </c>
      <c r="B6" s="5" t="s">
        <v>2302</v>
      </c>
      <c r="C6" s="5" t="s">
        <v>2294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2295</v>
      </c>
      <c r="H6" s="5" t="s">
        <v>2296</v>
      </c>
      <c r="I6" s="6" t="s">
        <v>2297</v>
      </c>
      <c r="J6" s="5" t="s">
        <v>2298</v>
      </c>
      <c r="K6" s="5" t="s">
        <v>2299</v>
      </c>
      <c r="L6" s="54" t="s">
        <v>587</v>
      </c>
      <c r="M6" s="108" t="s">
        <v>587</v>
      </c>
      <c r="N6" s="108" t="s">
        <v>587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2301</v>
      </c>
      <c r="R6" s="54" t="s">
        <v>2300</v>
      </c>
      <c r="S6" s="6" t="s">
        <v>587</v>
      </c>
    </row>
    <row r="7" customFormat="false" ht="29.85" hidden="false" customHeight="false" outlineLevel="0" collapsed="false">
      <c r="A7" s="54" t="s">
        <v>2303</v>
      </c>
      <c r="B7" s="5" t="s">
        <v>2304</v>
      </c>
      <c r="C7" s="5" t="s">
        <v>2294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2295</v>
      </c>
      <c r="H7" s="5" t="s">
        <v>2296</v>
      </c>
      <c r="I7" s="6" t="s">
        <v>2297</v>
      </c>
      <c r="J7" s="5" t="s">
        <v>2298</v>
      </c>
      <c r="K7" s="5" t="s">
        <v>2299</v>
      </c>
      <c r="L7" s="54" t="s">
        <v>587</v>
      </c>
      <c r="M7" s="108" t="s">
        <v>587</v>
      </c>
      <c r="N7" s="108" t="s">
        <v>587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2303</v>
      </c>
      <c r="R7" s="54" t="s">
        <v>2300</v>
      </c>
      <c r="S7" s="6" t="s">
        <v>587</v>
      </c>
    </row>
    <row r="8" customFormat="false" ht="29.85" hidden="false" customHeight="false" outlineLevel="0" collapsed="false">
      <c r="A8" s="54" t="s">
        <v>2305</v>
      </c>
      <c r="B8" s="5" t="s">
        <v>2306</v>
      </c>
      <c r="C8" s="5" t="s">
        <v>2294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2295</v>
      </c>
      <c r="H8" s="5" t="s">
        <v>2296</v>
      </c>
      <c r="I8" s="6" t="s">
        <v>2297</v>
      </c>
      <c r="J8" s="5" t="s">
        <v>2298</v>
      </c>
      <c r="K8" s="5" t="s">
        <v>2299</v>
      </c>
      <c r="L8" s="54" t="s">
        <v>2307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2305</v>
      </c>
      <c r="R8" s="54" t="s">
        <v>2300</v>
      </c>
      <c r="S8" s="5" t="s">
        <v>2308</v>
      </c>
    </row>
    <row r="9" customFormat="false" ht="29.85" hidden="false" customHeight="false" outlineLevel="0" collapsed="false">
      <c r="A9" s="54" t="s">
        <v>2309</v>
      </c>
      <c r="B9" s="5" t="s">
        <v>2310</v>
      </c>
      <c r="C9" s="5" t="s">
        <v>2311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2295</v>
      </c>
      <c r="H9" s="5" t="s">
        <v>2296</v>
      </c>
      <c r="I9" s="5" t="s">
        <v>2312</v>
      </c>
      <c r="J9" s="5" t="s">
        <v>2313</v>
      </c>
      <c r="K9" s="5" t="s">
        <v>2299</v>
      </c>
      <c r="L9" s="54" t="s">
        <v>2314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2309</v>
      </c>
      <c r="R9" s="54" t="s">
        <v>2315</v>
      </c>
      <c r="S9" s="5" t="s">
        <v>2316</v>
      </c>
    </row>
    <row r="10" customFormat="false" ht="44" hidden="false" customHeight="false" outlineLevel="0" collapsed="false">
      <c r="A10" s="54" t="s">
        <v>2317</v>
      </c>
      <c r="B10" s="5" t="s">
        <v>2318</v>
      </c>
      <c r="C10" s="5" t="s">
        <v>2319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100</v>
      </c>
      <c r="H10" s="5" t="s">
        <v>2296</v>
      </c>
      <c r="I10" s="5" t="s">
        <v>2320</v>
      </c>
      <c r="J10" s="5" t="s">
        <v>2321</v>
      </c>
      <c r="K10" s="5" t="s">
        <v>2322</v>
      </c>
      <c r="L10" s="54" t="s">
        <v>2323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2317</v>
      </c>
      <c r="R10" s="54" t="s">
        <v>2324</v>
      </c>
      <c r="S10" s="5" t="s">
        <v>2325</v>
      </c>
    </row>
    <row r="11" customFormat="false" ht="29.85" hidden="false" customHeight="false" outlineLevel="0" collapsed="false">
      <c r="A11" s="54" t="s">
        <v>2326</v>
      </c>
      <c r="B11" s="5" t="s">
        <v>2327</v>
      </c>
      <c r="C11" s="5" t="s">
        <v>2328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1778</v>
      </c>
      <c r="H11" s="5" t="s">
        <v>2296</v>
      </c>
      <c r="I11" s="5" t="s">
        <v>2329</v>
      </c>
      <c r="J11" s="6" t="s">
        <v>2330</v>
      </c>
      <c r="K11" s="5" t="s">
        <v>2331</v>
      </c>
      <c r="L11" s="54" t="s">
        <v>587</v>
      </c>
      <c r="M11" s="108" t="s">
        <v>587</v>
      </c>
      <c r="N11" s="108" t="s">
        <v>587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2326</v>
      </c>
      <c r="R11" s="54" t="s">
        <v>2332</v>
      </c>
      <c r="S11" s="6" t="s">
        <v>587</v>
      </c>
    </row>
    <row r="12" customFormat="false" ht="29.85" hidden="false" customHeight="false" outlineLevel="0" collapsed="false">
      <c r="A12" s="54" t="s">
        <v>2333</v>
      </c>
      <c r="B12" s="5" t="s">
        <v>2334</v>
      </c>
      <c r="C12" s="5" t="s">
        <v>2328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1778</v>
      </c>
      <c r="H12" s="5" t="s">
        <v>2296</v>
      </c>
      <c r="I12" s="5" t="s">
        <v>2329</v>
      </c>
      <c r="J12" s="6" t="s">
        <v>2330</v>
      </c>
      <c r="K12" s="5" t="s">
        <v>2331</v>
      </c>
      <c r="L12" s="54" t="s">
        <v>587</v>
      </c>
      <c r="M12" s="108" t="s">
        <v>587</v>
      </c>
      <c r="N12" s="108" t="s">
        <v>587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2333</v>
      </c>
      <c r="R12" s="54" t="s">
        <v>2332</v>
      </c>
      <c r="S12" s="6" t="s">
        <v>587</v>
      </c>
    </row>
    <row r="13" customFormat="false" ht="29.85" hidden="false" customHeight="false" outlineLevel="0" collapsed="false">
      <c r="A13" s="54" t="s">
        <v>2335</v>
      </c>
      <c r="B13" s="5" t="s">
        <v>2336</v>
      </c>
      <c r="C13" s="5" t="s">
        <v>2328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1778</v>
      </c>
      <c r="H13" s="5" t="s">
        <v>2296</v>
      </c>
      <c r="I13" s="5" t="s">
        <v>2329</v>
      </c>
      <c r="J13" s="6" t="s">
        <v>2330</v>
      </c>
      <c r="K13" s="5" t="s">
        <v>2331</v>
      </c>
      <c r="L13" s="54" t="s">
        <v>587</v>
      </c>
      <c r="M13" s="108" t="s">
        <v>587</v>
      </c>
      <c r="N13" s="108" t="s">
        <v>587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2335</v>
      </c>
      <c r="R13" s="54" t="s">
        <v>2332</v>
      </c>
      <c r="S13" s="6" t="s">
        <v>587</v>
      </c>
    </row>
    <row r="14" customFormat="false" ht="29.85" hidden="false" customHeight="false" outlineLevel="0" collapsed="false">
      <c r="A14" s="54" t="s">
        <v>2337</v>
      </c>
      <c r="B14" s="5" t="s">
        <v>2338</v>
      </c>
      <c r="C14" s="5" t="s">
        <v>2328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1778</v>
      </c>
      <c r="H14" s="5" t="s">
        <v>2296</v>
      </c>
      <c r="I14" s="5" t="s">
        <v>2329</v>
      </c>
      <c r="J14" s="6" t="s">
        <v>2330</v>
      </c>
      <c r="K14" s="5" t="s">
        <v>2331</v>
      </c>
      <c r="L14" s="54" t="s">
        <v>587</v>
      </c>
      <c r="M14" s="108" t="s">
        <v>587</v>
      </c>
      <c r="N14" s="108" t="s">
        <v>587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2337</v>
      </c>
      <c r="R14" s="54" t="s">
        <v>2332</v>
      </c>
      <c r="S14" s="6" t="s">
        <v>587</v>
      </c>
    </row>
    <row r="15" customFormat="false" ht="29.85" hidden="false" customHeight="false" outlineLevel="0" collapsed="false">
      <c r="A15" s="54" t="s">
        <v>2339</v>
      </c>
      <c r="B15" s="5" t="s">
        <v>2340</v>
      </c>
      <c r="C15" s="6" t="s">
        <v>2341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819</v>
      </c>
      <c r="H15" s="5" t="s">
        <v>2296</v>
      </c>
      <c r="I15" s="5" t="s">
        <v>2342</v>
      </c>
      <c r="J15" s="5" t="s">
        <v>2343</v>
      </c>
      <c r="K15" s="5" t="s">
        <v>2331</v>
      </c>
      <c r="L15" s="54" t="s">
        <v>587</v>
      </c>
      <c r="M15" s="108" t="s">
        <v>587</v>
      </c>
      <c r="N15" s="108" t="s">
        <v>587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2339</v>
      </c>
      <c r="R15" s="54" t="s">
        <v>2344</v>
      </c>
      <c r="S15" s="6" t="s">
        <v>587</v>
      </c>
    </row>
    <row r="16" customFormat="false" ht="44" hidden="false" customHeight="false" outlineLevel="0" collapsed="false">
      <c r="A16" s="54" t="s">
        <v>2345</v>
      </c>
      <c r="B16" s="5" t="s">
        <v>2346</v>
      </c>
      <c r="C16" s="6" t="s">
        <v>2341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819</v>
      </c>
      <c r="H16" s="5" t="s">
        <v>2296</v>
      </c>
      <c r="I16" s="5" t="s">
        <v>2342</v>
      </c>
      <c r="J16" s="5" t="s">
        <v>2343</v>
      </c>
      <c r="K16" s="5" t="s">
        <v>2331</v>
      </c>
      <c r="L16" s="54" t="s">
        <v>2347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2345</v>
      </c>
      <c r="R16" s="54" t="s">
        <v>2344</v>
      </c>
      <c r="S16" s="5" t="s">
        <v>2348</v>
      </c>
    </row>
    <row r="17" customFormat="false" ht="44" hidden="false" customHeight="false" outlineLevel="0" collapsed="false">
      <c r="A17" s="54" t="s">
        <v>2349</v>
      </c>
      <c r="B17" s="5" t="s">
        <v>2350</v>
      </c>
      <c r="C17" s="6" t="s">
        <v>2341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819</v>
      </c>
      <c r="H17" s="5" t="s">
        <v>2296</v>
      </c>
      <c r="I17" s="5" t="s">
        <v>2342</v>
      </c>
      <c r="J17" s="5" t="s">
        <v>2343</v>
      </c>
      <c r="K17" s="5" t="s">
        <v>2331</v>
      </c>
      <c r="L17" s="54" t="s">
        <v>2351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2349</v>
      </c>
      <c r="R17" s="54" t="s">
        <v>2344</v>
      </c>
      <c r="S17" s="5" t="s">
        <v>2348</v>
      </c>
    </row>
    <row r="18" customFormat="false" ht="29.85" hidden="false" customHeight="false" outlineLevel="0" collapsed="false">
      <c r="A18" s="54" t="s">
        <v>2352</v>
      </c>
      <c r="B18" s="5" t="s">
        <v>2353</v>
      </c>
      <c r="C18" s="6" t="s">
        <v>2341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819</v>
      </c>
      <c r="H18" s="5" t="s">
        <v>2296</v>
      </c>
      <c r="I18" s="5" t="s">
        <v>2342</v>
      </c>
      <c r="J18" s="5" t="s">
        <v>2343</v>
      </c>
      <c r="K18" s="5" t="s">
        <v>2331</v>
      </c>
      <c r="L18" s="54" t="s">
        <v>587</v>
      </c>
      <c r="M18" s="108" t="s">
        <v>587</v>
      </c>
      <c r="N18" s="108" t="s">
        <v>587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2352</v>
      </c>
      <c r="R18" s="54" t="s">
        <v>2344</v>
      </c>
      <c r="S18" s="6" t="s">
        <v>587</v>
      </c>
    </row>
    <row r="19" customFormat="false" ht="44" hidden="false" customHeight="false" outlineLevel="0" collapsed="false">
      <c r="A19" s="54" t="s">
        <v>2354</v>
      </c>
      <c r="B19" s="6" t="s">
        <v>2355</v>
      </c>
      <c r="C19" s="5" t="s">
        <v>2356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774</v>
      </c>
      <c r="H19" s="5" t="s">
        <v>2296</v>
      </c>
      <c r="I19" s="5" t="s">
        <v>2357</v>
      </c>
      <c r="J19" s="6" t="s">
        <v>2358</v>
      </c>
      <c r="K19" s="5" t="s">
        <v>2359</v>
      </c>
      <c r="L19" s="54" t="s">
        <v>587</v>
      </c>
      <c r="M19" s="108" t="s">
        <v>587</v>
      </c>
      <c r="N19" s="108" t="s">
        <v>587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2354</v>
      </c>
      <c r="R19" s="54" t="s">
        <v>2360</v>
      </c>
      <c r="S19" s="6" t="s">
        <v>2361</v>
      </c>
    </row>
    <row r="20" customFormat="false" ht="44" hidden="false" customHeight="false" outlineLevel="0" collapsed="false">
      <c r="A20" s="54" t="s">
        <v>2362</v>
      </c>
      <c r="B20" s="6" t="s">
        <v>2363</v>
      </c>
      <c r="C20" s="5" t="s">
        <v>2356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774</v>
      </c>
      <c r="H20" s="5" t="s">
        <v>2296</v>
      </c>
      <c r="I20" s="5" t="s">
        <v>2357</v>
      </c>
      <c r="J20" s="6" t="s">
        <v>2358</v>
      </c>
      <c r="K20" s="5" t="s">
        <v>2359</v>
      </c>
      <c r="L20" s="54" t="s">
        <v>587</v>
      </c>
      <c r="M20" s="108" t="s">
        <v>587</v>
      </c>
      <c r="N20" s="108" t="s">
        <v>587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2362</v>
      </c>
      <c r="R20" s="54" t="s">
        <v>2360</v>
      </c>
      <c r="S20" s="6" t="s">
        <v>587</v>
      </c>
    </row>
    <row r="21" customFormat="false" ht="44" hidden="false" customHeight="false" outlineLevel="0" collapsed="false">
      <c r="A21" s="54" t="s">
        <v>2364</v>
      </c>
      <c r="B21" s="6" t="s">
        <v>2365</v>
      </c>
      <c r="C21" s="5" t="s">
        <v>2356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774</v>
      </c>
      <c r="H21" s="5" t="s">
        <v>2296</v>
      </c>
      <c r="I21" s="5" t="s">
        <v>2357</v>
      </c>
      <c r="J21" s="6" t="s">
        <v>2358</v>
      </c>
      <c r="K21" s="5" t="s">
        <v>2359</v>
      </c>
      <c r="L21" s="54" t="s">
        <v>587</v>
      </c>
      <c r="M21" s="108" t="s">
        <v>587</v>
      </c>
      <c r="N21" s="108" t="s">
        <v>587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2364</v>
      </c>
      <c r="R21" s="54" t="s">
        <v>2360</v>
      </c>
      <c r="S21" s="6" t="s">
        <v>2361</v>
      </c>
    </row>
    <row r="22" customFormat="false" ht="44" hidden="false" customHeight="false" outlineLevel="0" collapsed="false">
      <c r="A22" s="54" t="s">
        <v>2366</v>
      </c>
      <c r="B22" s="6" t="s">
        <v>2367</v>
      </c>
      <c r="C22" s="5" t="s">
        <v>2356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774</v>
      </c>
      <c r="H22" s="5" t="s">
        <v>2296</v>
      </c>
      <c r="I22" s="5" t="s">
        <v>2357</v>
      </c>
      <c r="J22" s="6" t="s">
        <v>2358</v>
      </c>
      <c r="K22" s="5" t="s">
        <v>2359</v>
      </c>
      <c r="L22" s="54" t="s">
        <v>587</v>
      </c>
      <c r="M22" s="108" t="s">
        <v>587</v>
      </c>
      <c r="N22" s="108" t="s">
        <v>587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2366</v>
      </c>
      <c r="R22" s="54" t="s">
        <v>2360</v>
      </c>
      <c r="S22" s="6" t="s">
        <v>587</v>
      </c>
    </row>
    <row r="23" customFormat="false" ht="44" hidden="false" customHeight="false" outlineLevel="0" collapsed="false">
      <c r="A23" s="54" t="s">
        <v>2368</v>
      </c>
      <c r="B23" s="6" t="s">
        <v>2369</v>
      </c>
      <c r="C23" s="5" t="s">
        <v>2356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774</v>
      </c>
      <c r="H23" s="5" t="s">
        <v>2296</v>
      </c>
      <c r="I23" s="5" t="s">
        <v>2357</v>
      </c>
      <c r="J23" s="6" t="s">
        <v>2358</v>
      </c>
      <c r="K23" s="5" t="s">
        <v>2359</v>
      </c>
      <c r="L23" s="54" t="s">
        <v>587</v>
      </c>
      <c r="M23" s="108" t="s">
        <v>587</v>
      </c>
      <c r="N23" s="108" t="s">
        <v>587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2368</v>
      </c>
      <c r="R23" s="54" t="s">
        <v>2360</v>
      </c>
      <c r="S23" s="6" t="s">
        <v>2361</v>
      </c>
    </row>
    <row r="24" customFormat="false" ht="44" hidden="false" customHeight="false" outlineLevel="0" collapsed="false">
      <c r="A24" s="54" t="s">
        <v>2370</v>
      </c>
      <c r="B24" s="6" t="s">
        <v>2371</v>
      </c>
      <c r="C24" s="5" t="s">
        <v>2356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774</v>
      </c>
      <c r="H24" s="5" t="s">
        <v>2296</v>
      </c>
      <c r="I24" s="5" t="s">
        <v>2357</v>
      </c>
      <c r="J24" s="6" t="s">
        <v>2358</v>
      </c>
      <c r="K24" s="5" t="s">
        <v>2359</v>
      </c>
      <c r="L24" s="54" t="s">
        <v>587</v>
      </c>
      <c r="M24" s="108" t="s">
        <v>587</v>
      </c>
      <c r="N24" s="108" t="s">
        <v>587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2370</v>
      </c>
      <c r="R24" s="54" t="s">
        <v>2360</v>
      </c>
      <c r="S24" s="6" t="s">
        <v>587</v>
      </c>
    </row>
    <row r="25" customFormat="false" ht="29.85" hidden="false" customHeight="false" outlineLevel="0" collapsed="false">
      <c r="A25" s="54" t="s">
        <v>2372</v>
      </c>
      <c r="B25" s="6" t="s">
        <v>2373</v>
      </c>
      <c r="C25" s="5" t="s">
        <v>2374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2375</v>
      </c>
      <c r="H25" s="5" t="s">
        <v>2296</v>
      </c>
      <c r="I25" s="5" t="s">
        <v>2376</v>
      </c>
      <c r="J25" s="5" t="s">
        <v>2377</v>
      </c>
      <c r="K25" s="6" t="s">
        <v>2378</v>
      </c>
      <c r="L25" s="54" t="s">
        <v>2379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2372</v>
      </c>
      <c r="R25" s="54" t="s">
        <v>2380</v>
      </c>
      <c r="S25" s="6" t="s">
        <v>2381</v>
      </c>
    </row>
    <row r="26" customFormat="false" ht="44" hidden="false" customHeight="false" outlineLevel="0" collapsed="false">
      <c r="A26" s="54" t="s">
        <v>2382</v>
      </c>
      <c r="B26" s="5" t="s">
        <v>2383</v>
      </c>
      <c r="C26" s="6" t="s">
        <v>2384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1778</v>
      </c>
      <c r="H26" s="5" t="s">
        <v>2385</v>
      </c>
      <c r="I26" s="5" t="s">
        <v>2386</v>
      </c>
      <c r="J26" s="5" t="s">
        <v>2387</v>
      </c>
      <c r="K26" s="5" t="s">
        <v>2388</v>
      </c>
      <c r="L26" s="54" t="s">
        <v>587</v>
      </c>
      <c r="M26" s="108" t="s">
        <v>587</v>
      </c>
      <c r="N26" s="108" t="s">
        <v>587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2382</v>
      </c>
      <c r="R26" s="54" t="s">
        <v>2389</v>
      </c>
      <c r="S26" s="5" t="s">
        <v>2390</v>
      </c>
    </row>
    <row r="27" customFormat="false" ht="44" hidden="false" customHeight="false" outlineLevel="0" collapsed="false">
      <c r="A27" s="54" t="s">
        <v>2391</v>
      </c>
      <c r="B27" s="5" t="s">
        <v>2392</v>
      </c>
      <c r="C27" s="6" t="s">
        <v>2384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1778</v>
      </c>
      <c r="H27" s="5" t="s">
        <v>2385</v>
      </c>
      <c r="I27" s="5" t="s">
        <v>2386</v>
      </c>
      <c r="J27" s="5" t="s">
        <v>2387</v>
      </c>
      <c r="K27" s="5" t="s">
        <v>2388</v>
      </c>
      <c r="L27" s="54" t="s">
        <v>587</v>
      </c>
      <c r="M27" s="108" t="s">
        <v>587</v>
      </c>
      <c r="N27" s="108" t="s">
        <v>587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2391</v>
      </c>
      <c r="R27" s="54" t="s">
        <v>2389</v>
      </c>
      <c r="S27" s="5" t="s">
        <v>2390</v>
      </c>
    </row>
    <row r="28" customFormat="false" ht="44" hidden="false" customHeight="false" outlineLevel="0" collapsed="false">
      <c r="A28" s="54" t="s">
        <v>2393</v>
      </c>
      <c r="B28" s="5" t="s">
        <v>2394</v>
      </c>
      <c r="C28" s="6" t="s">
        <v>2384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1778</v>
      </c>
      <c r="H28" s="5" t="s">
        <v>2385</v>
      </c>
      <c r="I28" s="5" t="s">
        <v>2386</v>
      </c>
      <c r="J28" s="5" t="s">
        <v>2387</v>
      </c>
      <c r="K28" s="5" t="s">
        <v>2388</v>
      </c>
      <c r="L28" s="54" t="s">
        <v>587</v>
      </c>
      <c r="M28" s="108" t="s">
        <v>587</v>
      </c>
      <c r="N28" s="108" t="s">
        <v>587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2393</v>
      </c>
      <c r="R28" s="54" t="s">
        <v>2389</v>
      </c>
      <c r="S28" s="5" t="s">
        <v>2390</v>
      </c>
    </row>
    <row r="29" customFormat="false" ht="44" hidden="false" customHeight="false" outlineLevel="0" collapsed="false">
      <c r="A29" s="54" t="s">
        <v>2395</v>
      </c>
      <c r="B29" s="6" t="s">
        <v>2396</v>
      </c>
      <c r="C29" s="6" t="s">
        <v>2384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1778</v>
      </c>
      <c r="H29" s="5" t="s">
        <v>2385</v>
      </c>
      <c r="I29" s="5" t="s">
        <v>2386</v>
      </c>
      <c r="J29" s="5" t="s">
        <v>2387</v>
      </c>
      <c r="K29" s="5" t="s">
        <v>2388</v>
      </c>
      <c r="L29" s="54" t="s">
        <v>587</v>
      </c>
      <c r="M29" s="108" t="s">
        <v>587</v>
      </c>
      <c r="N29" s="108" t="s">
        <v>587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2395</v>
      </c>
      <c r="R29" s="54" t="s">
        <v>2389</v>
      </c>
      <c r="S29" s="5" t="s">
        <v>2390</v>
      </c>
    </row>
    <row r="30" customFormat="false" ht="29.85" hidden="false" customHeight="false" outlineLevel="0" collapsed="false">
      <c r="A30" s="54" t="s">
        <v>2397</v>
      </c>
      <c r="B30" s="5" t="s">
        <v>2398</v>
      </c>
      <c r="C30" s="6" t="s">
        <v>2341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819</v>
      </c>
      <c r="H30" s="5" t="s">
        <v>2296</v>
      </c>
      <c r="I30" s="5" t="s">
        <v>2399</v>
      </c>
      <c r="J30" s="5" t="s">
        <v>2343</v>
      </c>
      <c r="K30" s="5" t="s">
        <v>2400</v>
      </c>
      <c r="L30" s="54" t="s">
        <v>2401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2397</v>
      </c>
      <c r="R30" s="54" t="s">
        <v>2402</v>
      </c>
      <c r="S30" s="5" t="s">
        <v>2403</v>
      </c>
    </row>
    <row r="31" customFormat="false" ht="44" hidden="false" customHeight="false" outlineLevel="0" collapsed="false">
      <c r="A31" s="54" t="s">
        <v>2404</v>
      </c>
      <c r="B31" s="5" t="s">
        <v>2405</v>
      </c>
      <c r="C31" s="6" t="s">
        <v>2341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819</v>
      </c>
      <c r="H31" s="5" t="s">
        <v>2296</v>
      </c>
      <c r="I31" s="5" t="s">
        <v>2406</v>
      </c>
      <c r="J31" s="5" t="s">
        <v>2343</v>
      </c>
      <c r="K31" s="5" t="s">
        <v>2407</v>
      </c>
      <c r="L31" s="54" t="s">
        <v>2408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2404</v>
      </c>
      <c r="R31" s="54" t="s">
        <v>2409</v>
      </c>
      <c r="S31" s="5" t="s">
        <v>2410</v>
      </c>
    </row>
    <row r="32" customFormat="false" ht="29.85" hidden="false" customHeight="false" outlineLevel="0" collapsed="false">
      <c r="A32" s="54" t="s">
        <v>2411</v>
      </c>
      <c r="B32" s="6" t="s">
        <v>2412</v>
      </c>
      <c r="C32" s="6" t="s">
        <v>2413</v>
      </c>
      <c r="D32" s="109" t="n">
        <f aca="false">Training!$M$78</f>
        <v>0.371397626434424</v>
      </c>
      <c r="E32" s="87" t="n">
        <f aca="false">Sens_Train!$O$78</f>
        <v>0.111419287930327</v>
      </c>
      <c r="F32" s="87" t="n">
        <f aca="false">Sens_Train!$Q$78</f>
        <v>1.11419287930327</v>
      </c>
      <c r="G32" s="54" t="s">
        <v>83</v>
      </c>
      <c r="H32" s="6" t="s">
        <v>2414</v>
      </c>
      <c r="I32" s="5" t="s">
        <v>2415</v>
      </c>
      <c r="J32" s="6" t="s">
        <v>2416</v>
      </c>
      <c r="K32" s="6" t="s">
        <v>2417</v>
      </c>
      <c r="L32" s="54" t="s">
        <v>2418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6.73063453619936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2411</v>
      </c>
      <c r="R32" s="54" t="s">
        <v>2419</v>
      </c>
      <c r="S32" s="5" t="s">
        <v>2420</v>
      </c>
    </row>
    <row r="33" customFormat="false" ht="44" hidden="false" customHeight="false" outlineLevel="0" collapsed="false">
      <c r="A33" s="54" t="s">
        <v>2421</v>
      </c>
      <c r="B33" s="6" t="s">
        <v>2422</v>
      </c>
      <c r="C33" s="6" t="s">
        <v>2413</v>
      </c>
      <c r="D33" s="109" t="n">
        <f aca="false">Training!$N$78</f>
        <v>1.12717162997901</v>
      </c>
      <c r="E33" s="87" t="n">
        <f aca="false">Sens_Train!$P$78</f>
        <v>0.338151488993704</v>
      </c>
      <c r="F33" s="87" t="n">
        <f aca="false">Sens_Train!$R$78</f>
        <v>3.38151488993704</v>
      </c>
      <c r="G33" s="54" t="s">
        <v>83</v>
      </c>
      <c r="H33" s="6" t="s">
        <v>2414</v>
      </c>
      <c r="I33" s="5" t="s">
        <v>2423</v>
      </c>
      <c r="J33" s="6" t="s">
        <v>2416</v>
      </c>
      <c r="K33" s="6" t="s">
        <v>2417</v>
      </c>
      <c r="L33" s="54" t="s">
        <v>2424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1.12717162997901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2421</v>
      </c>
      <c r="R33" s="54" t="s">
        <v>2425</v>
      </c>
      <c r="S33" s="5" t="s">
        <v>2426</v>
      </c>
    </row>
    <row r="34" customFormat="false" ht="29.85" hidden="false" customHeight="false" outlineLevel="0" collapsed="false">
      <c r="A34" s="54" t="s">
        <v>2427</v>
      </c>
      <c r="B34" s="5" t="s">
        <v>2428</v>
      </c>
      <c r="C34" s="6" t="s">
        <v>2429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79</v>
      </c>
      <c r="H34" s="5" t="s">
        <v>2430</v>
      </c>
      <c r="I34" s="5" t="s">
        <v>2431</v>
      </c>
      <c r="J34" s="5" t="s">
        <v>2432</v>
      </c>
      <c r="K34" s="5" t="s">
        <v>2433</v>
      </c>
      <c r="L34" s="54" t="s">
        <v>2434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2427</v>
      </c>
      <c r="R34" s="54" t="s">
        <v>2435</v>
      </c>
      <c r="S34" s="5" t="s">
        <v>2436</v>
      </c>
    </row>
    <row r="35" customFormat="false" ht="72.35" hidden="false" customHeight="false" outlineLevel="0" collapsed="false">
      <c r="A35" s="54" t="s">
        <v>2437</v>
      </c>
      <c r="B35" s="6" t="s">
        <v>2438</v>
      </c>
      <c r="C35" s="6" t="s">
        <v>2439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1778</v>
      </c>
      <c r="H35" s="5" t="s">
        <v>2440</v>
      </c>
      <c r="I35" s="5" t="s">
        <v>2441</v>
      </c>
      <c r="J35" s="6" t="s">
        <v>2442</v>
      </c>
      <c r="K35" s="6" t="s">
        <v>2443</v>
      </c>
      <c r="L35" s="54" t="s">
        <v>2444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2437</v>
      </c>
      <c r="R35" s="54" t="s">
        <v>2445</v>
      </c>
      <c r="S35" s="5" t="s">
        <v>2446</v>
      </c>
    </row>
    <row r="36" customFormat="false" ht="58.2" hidden="false" customHeight="false" outlineLevel="0" collapsed="false">
      <c r="A36" s="54" t="s">
        <v>2447</v>
      </c>
      <c r="B36" s="6" t="s">
        <v>2448</v>
      </c>
      <c r="C36" s="6" t="s">
        <v>2449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280</v>
      </c>
      <c r="H36" s="5" t="s">
        <v>2450</v>
      </c>
      <c r="I36" s="5" t="s">
        <v>2451</v>
      </c>
      <c r="J36" s="6" t="s">
        <v>2452</v>
      </c>
      <c r="K36" s="6" t="s">
        <v>2453</v>
      </c>
      <c r="L36" s="54" t="s">
        <v>2454</v>
      </c>
      <c r="M36" s="87" t="n">
        <f aca="false">SRC_MOD_055_Lo</f>
        <v>5E+026</v>
      </c>
      <c r="N36" s="87" t="n">
        <f aca="false">SRC_MOD_055_Hi</f>
        <v>2E+027</v>
      </c>
      <c r="O36" s="69" t="n">
        <f aca="false">IF(AND(ISNUMBER(D36),ISNUMBER(M36),ISNUMBER(N36)),D36/((M36+N36)/2),"—")</f>
        <v>0.0547391029248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54" t="s">
        <v>2447</v>
      </c>
      <c r="R36" s="54" t="s">
        <v>2455</v>
      </c>
      <c r="S36" s="5" t="s">
        <v>2456</v>
      </c>
    </row>
    <row r="37" customFormat="false" ht="69.4" hidden="false" customHeight="false" outlineLevel="0" collapsed="false">
      <c r="A37" s="54" t="s">
        <v>2457</v>
      </c>
      <c r="B37" s="5" t="s">
        <v>2458</v>
      </c>
      <c r="C37" s="6" t="s">
        <v>2459</v>
      </c>
      <c r="D37" s="118" t="n">
        <f aca="false">IF_AllocQ1</f>
        <v>0.573260920627556</v>
      </c>
      <c r="E37" s="108" t="n">
        <f aca="false">IF(ISNUMBER(IF_AllocQ1),MIN(AL_SensQ1),"—")</f>
        <v>0.401798008420507</v>
      </c>
      <c r="F37" s="108" t="n">
        <f aca="false">IF(ISNUMBER(IF_AllocQ1),MAX(AL_SensQ1),"—")</f>
        <v>0.903878188735344</v>
      </c>
      <c r="G37" s="54" t="s">
        <v>79</v>
      </c>
      <c r="H37" s="6" t="s">
        <v>2460</v>
      </c>
      <c r="I37" s="5" t="s">
        <v>2461</v>
      </c>
      <c r="J37" s="6" t="s">
        <v>2462</v>
      </c>
      <c r="K37" s="5" t="s">
        <v>2463</v>
      </c>
      <c r="L37" s="54" t="s">
        <v>587</v>
      </c>
      <c r="M37" s="108" t="s">
        <v>587</v>
      </c>
      <c r="N37" s="108" t="s">
        <v>587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2457</v>
      </c>
      <c r="R37" s="54" t="s">
        <v>2464</v>
      </c>
      <c r="S37" s="6" t="s">
        <v>2465</v>
      </c>
    </row>
    <row r="38" customFormat="false" ht="58.2" hidden="false" customHeight="false" outlineLevel="0" collapsed="false">
      <c r="A38" s="54" t="s">
        <v>2466</v>
      </c>
      <c r="B38" s="5" t="s">
        <v>2467</v>
      </c>
      <c r="C38" s="6" t="s">
        <v>2468</v>
      </c>
      <c r="D38" s="118" t="n">
        <f aca="false">IF_AllocQ2</f>
        <v>0.602500004844985</v>
      </c>
      <c r="E38" s="108" t="n">
        <f aca="false">IF(ISNUMBER(IF_AllocQ2),MIN(AL_SensQ2),"—")</f>
        <v>0.431127017483927</v>
      </c>
      <c r="F38" s="108" t="n">
        <f aca="false">IF(ISNUMBER(IF_AllocQ2),MAX(AL_SensQ2),"—")</f>
        <v>0.913867823910908</v>
      </c>
      <c r="G38" s="54" t="s">
        <v>79</v>
      </c>
      <c r="H38" s="6" t="s">
        <v>2469</v>
      </c>
      <c r="I38" s="5" t="s">
        <v>2470</v>
      </c>
      <c r="J38" s="6" t="s">
        <v>2471</v>
      </c>
      <c r="K38" s="5" t="s">
        <v>2463</v>
      </c>
      <c r="L38" s="54" t="s">
        <v>587</v>
      </c>
      <c r="M38" s="108" t="s">
        <v>587</v>
      </c>
      <c r="N38" s="108" t="s">
        <v>587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2466</v>
      </c>
      <c r="R38" s="54" t="s">
        <v>2464</v>
      </c>
      <c r="S38" s="5" t="s">
        <v>2472</v>
      </c>
    </row>
    <row r="39" customFormat="false" ht="129.1" hidden="false" customHeight="false" outlineLevel="0" collapsed="false">
      <c r="A39" s="54" t="s">
        <v>2473</v>
      </c>
      <c r="B39" s="5" t="s">
        <v>2474</v>
      </c>
      <c r="C39" s="6" t="s">
        <v>2475</v>
      </c>
      <c r="D39" s="118" t="n">
        <f aca="false">AL_RDCost</f>
        <v>1.15731961755801</v>
      </c>
      <c r="E39" s="108" t="n">
        <f aca="false">IF(ISNUMBER(AL_RDCost),MIN(AL_SensCost),"—")</f>
        <v>0.578659808779004</v>
      </c>
      <c r="F39" s="108" t="n">
        <f aca="false">IF(ISNUMBER(AL_RDCost),MAX(AL_SensCost),"—")</f>
        <v>8.10123732290606</v>
      </c>
      <c r="G39" s="54" t="s">
        <v>1371</v>
      </c>
      <c r="H39" s="6" t="s">
        <v>2476</v>
      </c>
      <c r="I39" s="6" t="s">
        <v>2477</v>
      </c>
      <c r="J39" s="6" t="s">
        <v>2478</v>
      </c>
      <c r="K39" s="5" t="s">
        <v>2479</v>
      </c>
      <c r="L39" s="54" t="s">
        <v>2480</v>
      </c>
      <c r="M39" s="87" t="n">
        <f aca="false">SRC_DEM_006</f>
        <v>12</v>
      </c>
      <c r="N39" s="87" t="n">
        <f aca="false">SRC_DEM_006</f>
        <v>12</v>
      </c>
      <c r="O39" s="69" t="n">
        <f aca="false">IF(AND(ISNUMBER(D39),ISNUMBER(M39),ISNUMBER(N39)),D39/((M39+N39)/2),"—")</f>
        <v>0.0964433014631674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54" t="s">
        <v>2473</v>
      </c>
      <c r="R39" s="54" t="s">
        <v>2481</v>
      </c>
      <c r="S39" s="5" t="s">
        <v>2482</v>
      </c>
    </row>
    <row r="40" customFormat="false" ht="83.55" hidden="false" customHeight="false" outlineLevel="0" collapsed="false">
      <c r="A40" s="54" t="s">
        <v>2483</v>
      </c>
      <c r="B40" s="5" t="s">
        <v>2484</v>
      </c>
      <c r="C40" s="6" t="s">
        <v>2485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774</v>
      </c>
      <c r="H40" s="5" t="s">
        <v>2296</v>
      </c>
      <c r="I40" s="5" t="s">
        <v>2486</v>
      </c>
      <c r="J40" s="6" t="s">
        <v>2358</v>
      </c>
      <c r="K40" s="5" t="s">
        <v>2359</v>
      </c>
      <c r="L40" s="54" t="s">
        <v>587</v>
      </c>
      <c r="M40" s="108" t="s">
        <v>587</v>
      </c>
      <c r="N40" s="108" t="s">
        <v>587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2483</v>
      </c>
      <c r="R40" s="54" t="s">
        <v>2487</v>
      </c>
      <c r="S40" s="6" t="s">
        <v>2488</v>
      </c>
    </row>
    <row r="41" customFormat="false" ht="72.35" hidden="false" customHeight="false" outlineLevel="0" collapsed="false">
      <c r="A41" s="54" t="s">
        <v>2489</v>
      </c>
      <c r="B41" s="5" t="s">
        <v>2490</v>
      </c>
      <c r="C41" s="6" t="s">
        <v>2491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1778</v>
      </c>
      <c r="H41" s="5" t="s">
        <v>2385</v>
      </c>
      <c r="I41" s="5" t="s">
        <v>2492</v>
      </c>
      <c r="J41" s="5" t="s">
        <v>2493</v>
      </c>
      <c r="K41" s="5" t="s">
        <v>2494</v>
      </c>
      <c r="L41" s="54" t="s">
        <v>587</v>
      </c>
      <c r="M41" s="108" t="s">
        <v>587</v>
      </c>
      <c r="N41" s="108" t="s">
        <v>587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2489</v>
      </c>
      <c r="R41" s="54" t="s">
        <v>2495</v>
      </c>
      <c r="S41" s="6" t="s">
        <v>587</v>
      </c>
    </row>
    <row r="42" customFormat="false" ht="58.2" hidden="false" customHeight="false" outlineLevel="0" collapsed="false">
      <c r="A42" s="54" t="s">
        <v>2496</v>
      </c>
      <c r="B42" s="5" t="s">
        <v>2497</v>
      </c>
      <c r="C42" s="5" t="s">
        <v>2498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79</v>
      </c>
      <c r="H42" s="5" t="s">
        <v>2499</v>
      </c>
      <c r="I42" s="6" t="s">
        <v>2500</v>
      </c>
      <c r="J42" s="6" t="s">
        <v>2501</v>
      </c>
      <c r="K42" s="6" t="s">
        <v>2417</v>
      </c>
      <c r="L42" s="54" t="s">
        <v>587</v>
      </c>
      <c r="M42" s="108" t="s">
        <v>587</v>
      </c>
      <c r="N42" s="108" t="s">
        <v>587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2496</v>
      </c>
      <c r="R42" s="54" t="s">
        <v>2502</v>
      </c>
      <c r="S42" s="5" t="s">
        <v>2503</v>
      </c>
    </row>
    <row r="43" customFormat="false" ht="114.9" hidden="false" customHeight="false" outlineLevel="0" collapsed="false">
      <c r="A43" s="54" t="s">
        <v>2504</v>
      </c>
      <c r="B43" s="5" t="s">
        <v>2505</v>
      </c>
      <c r="C43" s="6" t="s">
        <v>2506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83</v>
      </c>
      <c r="H43" s="5" t="s">
        <v>2499</v>
      </c>
      <c r="I43" s="5" t="s">
        <v>2507</v>
      </c>
      <c r="J43" s="5" t="s">
        <v>2508</v>
      </c>
      <c r="K43" s="6" t="s">
        <v>2509</v>
      </c>
      <c r="L43" s="54" t="s">
        <v>587</v>
      </c>
      <c r="M43" s="108" t="s">
        <v>587</v>
      </c>
      <c r="N43" s="108" t="s">
        <v>587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2504</v>
      </c>
      <c r="R43" s="54" t="s">
        <v>2389</v>
      </c>
      <c r="S43" s="5" t="s">
        <v>2503</v>
      </c>
    </row>
    <row r="44" customFormat="false" ht="44" hidden="false" customHeight="false" outlineLevel="0" collapsed="false">
      <c r="A44" s="54" t="s">
        <v>2510</v>
      </c>
      <c r="B44" s="5" t="s">
        <v>2511</v>
      </c>
      <c r="C44" s="6" t="s">
        <v>2512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83</v>
      </c>
      <c r="H44" s="5" t="s">
        <v>2499</v>
      </c>
      <c r="I44" s="6" t="s">
        <v>2513</v>
      </c>
      <c r="J44" s="5" t="s">
        <v>2514</v>
      </c>
      <c r="K44" s="6" t="s">
        <v>2515</v>
      </c>
      <c r="L44" s="54" t="s">
        <v>587</v>
      </c>
      <c r="M44" s="108" t="s">
        <v>587</v>
      </c>
      <c r="N44" s="108" t="s">
        <v>587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2510</v>
      </c>
      <c r="R44" s="54" t="s">
        <v>2516</v>
      </c>
      <c r="S44" s="6" t="s">
        <v>587</v>
      </c>
    </row>
    <row r="45" customFormat="false" ht="58.2" hidden="false" customHeight="false" outlineLevel="0" collapsed="false">
      <c r="A45" s="54" t="s">
        <v>2517</v>
      </c>
      <c r="B45" s="5" t="s">
        <v>2518</v>
      </c>
      <c r="C45" s="6" t="s">
        <v>2519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402</v>
      </c>
      <c r="H45" s="5" t="s">
        <v>2520</v>
      </c>
      <c r="I45" s="5" t="s">
        <v>2521</v>
      </c>
      <c r="J45" s="6" t="s">
        <v>2522</v>
      </c>
      <c r="K45" s="6" t="s">
        <v>2523</v>
      </c>
      <c r="L45" s="54" t="s">
        <v>587</v>
      </c>
      <c r="M45" s="108" t="s">
        <v>587</v>
      </c>
      <c r="N45" s="108" t="s">
        <v>587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2517</v>
      </c>
      <c r="R45" s="54" t="s">
        <v>2516</v>
      </c>
      <c r="S45" s="5" t="s">
        <v>2524</v>
      </c>
    </row>
    <row r="46" customFormat="false" ht="58.2" hidden="false" customHeight="false" outlineLevel="0" collapsed="false">
      <c r="A46" s="54" t="s">
        <v>2525</v>
      </c>
      <c r="B46" s="5" t="s">
        <v>2526</v>
      </c>
      <c r="C46" s="6" t="s">
        <v>2527</v>
      </c>
      <c r="D46" s="118" t="n">
        <f aca="false">IF_AllocServeGW</f>
        <v>0.0675062707396196</v>
      </c>
      <c r="E46" s="108" t="n">
        <f aca="false">IF_AllocServeGW</f>
        <v>0.0675062707396196</v>
      </c>
      <c r="F46" s="108" t="n">
        <f aca="false">IF_AllocServeGW</f>
        <v>0.0675062707396196</v>
      </c>
      <c r="G46" s="54" t="s">
        <v>71</v>
      </c>
      <c r="H46" s="5" t="s">
        <v>2528</v>
      </c>
      <c r="I46" s="5" t="s">
        <v>2529</v>
      </c>
      <c r="J46" s="5" t="s">
        <v>2530</v>
      </c>
      <c r="K46" s="5" t="s">
        <v>2463</v>
      </c>
      <c r="L46" s="54" t="s">
        <v>2531</v>
      </c>
      <c r="M46" s="87" t="n">
        <f aca="false">AL_ServeGWSpend</f>
        <v>1.11398995344644</v>
      </c>
      <c r="N46" s="87" t="n">
        <f aca="false">AL_ServeGWSpend</f>
        <v>1.11398995344644</v>
      </c>
      <c r="O46" s="69" t="n">
        <f aca="false">IF(AND(ISNUMBER(D46),ISNUMBER(M46),ISNUMBER(N46)),D46/((M46+N46)/2),"—")</f>
        <v>0.0605986351409813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2525</v>
      </c>
      <c r="R46" s="54" t="s">
        <v>2532</v>
      </c>
      <c r="S46" s="5" t="s">
        <v>2533</v>
      </c>
    </row>
    <row r="47" customFormat="false" ht="58.2" hidden="false" customHeight="false" outlineLevel="0" collapsed="false">
      <c r="A47" s="54" t="s">
        <v>2534</v>
      </c>
      <c r="B47" s="5" t="s">
        <v>2535</v>
      </c>
      <c r="C47" s="6" t="s">
        <v>2536</v>
      </c>
      <c r="D47" s="118" t="n">
        <f aca="false">AL_FreeServeShare</f>
        <v>0.131460271324625</v>
      </c>
      <c r="E47" s="108" t="n">
        <f aca="false">AL_FreeServeShare</f>
        <v>0.131460271324625</v>
      </c>
      <c r="F47" s="108" t="n">
        <f aca="false">AL_FreeServeShare</f>
        <v>0.131460271324625</v>
      </c>
      <c r="G47" s="54" t="s">
        <v>79</v>
      </c>
      <c r="H47" s="5" t="s">
        <v>2528</v>
      </c>
      <c r="I47" s="6" t="s">
        <v>2537</v>
      </c>
      <c r="J47" s="5" t="s">
        <v>2538</v>
      </c>
      <c r="K47" s="5" t="s">
        <v>2539</v>
      </c>
      <c r="L47" s="54" t="s">
        <v>2540</v>
      </c>
      <c r="M47" s="87" t="n">
        <f aca="false">SRC_DEM_005/SRC_DEM_018</f>
        <v>0.30952380952381</v>
      </c>
      <c r="N47" s="87" t="n">
        <f aca="false">SRC_DEM_005/SRC_DEM_018</f>
        <v>0.30952380952381</v>
      </c>
      <c r="O47" s="69" t="n">
        <f aca="false">IF(AND(ISNUMBER(D47),ISNUMBER(M47),ISNUMBER(N47)),D47/((M47+N47)/2),"—")</f>
        <v>0.424717799664174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2534</v>
      </c>
      <c r="R47" s="54" t="s">
        <v>2532</v>
      </c>
      <c r="S47" s="5" t="s">
        <v>2541</v>
      </c>
    </row>
    <row r="48" customFormat="false" ht="58.2" hidden="false" customHeight="false" outlineLevel="0" collapsed="false">
      <c r="A48" s="54" t="s">
        <v>2542</v>
      </c>
      <c r="B48" s="5" t="s">
        <v>2543</v>
      </c>
      <c r="C48" s="6" t="s">
        <v>2544</v>
      </c>
      <c r="D48" s="118" t="n">
        <f aca="false">AL_DDaily</f>
        <v>16.48</v>
      </c>
      <c r="E48" s="108" t="n">
        <f aca="false">AL_DDaily</f>
        <v>16.48</v>
      </c>
      <c r="F48" s="108" t="n">
        <f aca="false">AL_DDaily</f>
        <v>16.48</v>
      </c>
      <c r="G48" s="54" t="s">
        <v>1755</v>
      </c>
      <c r="H48" s="5" t="s">
        <v>2528</v>
      </c>
      <c r="I48" s="5" t="s">
        <v>2545</v>
      </c>
      <c r="J48" s="5" t="s">
        <v>2546</v>
      </c>
      <c r="K48" s="5" t="s">
        <v>2463</v>
      </c>
      <c r="L48" s="54" t="s">
        <v>2547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0.299636363636364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2542</v>
      </c>
      <c r="R48" s="54" t="s">
        <v>2548</v>
      </c>
      <c r="S48" s="6" t="s">
        <v>2549</v>
      </c>
    </row>
    <row r="49" customFormat="false" ht="143.25" hidden="false" customHeight="false" outlineLevel="0" collapsed="false">
      <c r="A49" s="54" t="s">
        <v>2550</v>
      </c>
      <c r="B49" s="5" t="s">
        <v>2551</v>
      </c>
      <c r="C49" s="6" t="s">
        <v>2552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79</v>
      </c>
      <c r="H49" s="5" t="s">
        <v>2553</v>
      </c>
      <c r="I49" s="6" t="s">
        <v>2554</v>
      </c>
      <c r="J49" s="5" t="s">
        <v>2555</v>
      </c>
      <c r="K49" s="5" t="s">
        <v>2494</v>
      </c>
      <c r="L49" s="54" t="s">
        <v>2556</v>
      </c>
      <c r="M49" s="87" t="n">
        <f aca="false">1-SRC_DEM_018/SRC_DEM_007</f>
        <v>0.0359602142310636</v>
      </c>
      <c r="N49" s="87" t="n">
        <f aca="false">1-SRC_DEM_018/SRC_DEM_007</f>
        <v>0.0359602142310636</v>
      </c>
      <c r="O49" s="69" t="n">
        <f aca="false">IF(AND(ISNUMBER(D49),ISNUMBER(M49),ISNUMBER(N49)),D49/((M49+N49)/2),"—")</f>
        <v>26.5037550087051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2550</v>
      </c>
      <c r="R49" s="54" t="s">
        <v>2557</v>
      </c>
      <c r="S49" s="5" t="s">
        <v>2558</v>
      </c>
    </row>
    <row r="50" customFormat="false" ht="69.4" hidden="false" customHeight="false" outlineLevel="0" collapsed="false">
      <c r="A50" s="54" t="s">
        <v>2559</v>
      </c>
      <c r="B50" s="5" t="s">
        <v>2560</v>
      </c>
      <c r="C50" s="6" t="s">
        <v>2552</v>
      </c>
      <c r="D50" s="118" t="n">
        <f aca="false">IF(AND(ISNUMBER(IF_PriceRef_Sol),ISNUMBER(INDEX(IF_FullCostDefault_Sol,1,11))),1-INDEX(IF_FullCostDefault_Sol,1,11)/IF_PriceRef_Sol,"—")</f>
        <v>0.930312817212118</v>
      </c>
      <c r="E50" s="108" t="n">
        <f aca="false">IF(AND(ISNUMBER(IF_PriceRef_Sol),ISNUMBER(INDEX(IF_FullCostDefault_Sol,1,12))),1-INDEX(IF_FullCostDefault_Sol,1,12)/IF_PriceRef_Sol,"—")</f>
        <v>0.887098927940157</v>
      </c>
      <c r="F50" s="108" t="n">
        <f aca="false">IF(AND(ISNUMBER(IF_PriceRef_Sol),ISNUMBER(INDEX(IF_FullCostDefault_Sol,1,10))),1-INDEX(IF_FullCostDefault_Sol,1,10)/IF_PriceRef_Sol,"—")</f>
        <v>0.946282237898858</v>
      </c>
      <c r="G50" s="54" t="s">
        <v>79</v>
      </c>
      <c r="H50" s="5" t="s">
        <v>2553</v>
      </c>
      <c r="I50" s="6" t="s">
        <v>2561</v>
      </c>
      <c r="J50" s="5" t="s">
        <v>2562</v>
      </c>
      <c r="K50" s="5" t="s">
        <v>2494</v>
      </c>
      <c r="L50" s="54" t="s">
        <v>587</v>
      </c>
      <c r="M50" s="108" t="s">
        <v>587</v>
      </c>
      <c r="N50" s="108" t="s">
        <v>587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2559</v>
      </c>
      <c r="R50" s="54" t="s">
        <v>2563</v>
      </c>
      <c r="S50" s="6" t="s">
        <v>587</v>
      </c>
    </row>
    <row r="51" customFormat="false" ht="44" hidden="false" customHeight="false" outlineLevel="0" collapsed="false">
      <c r="A51" s="54" t="s">
        <v>2564</v>
      </c>
      <c r="B51" s="5" t="s">
        <v>2565</v>
      </c>
      <c r="C51" s="5" t="s">
        <v>2498</v>
      </c>
      <c r="D51" s="118" t="n">
        <f aca="false">INDEX(IF_PostShareGPUh_Sol,1,AL_TrainCol)</f>
        <v>0.282310936548276</v>
      </c>
      <c r="E51" s="108" t="n">
        <f aca="false">INDEX(IF_PostShareGPUh_Sol,1,AL_TrainCol)</f>
        <v>0.282310936548276</v>
      </c>
      <c r="F51" s="108" t="n">
        <f aca="false">INDEX(IF_PostShareGPUh_Sol,1,AL_TrainCol)</f>
        <v>0.282310936548276</v>
      </c>
      <c r="G51" s="54" t="s">
        <v>79</v>
      </c>
      <c r="H51" s="5" t="s">
        <v>2499</v>
      </c>
      <c r="I51" s="6" t="s">
        <v>2566</v>
      </c>
      <c r="J51" s="6" t="s">
        <v>2501</v>
      </c>
      <c r="K51" s="6" t="s">
        <v>2417</v>
      </c>
      <c r="L51" s="54" t="s">
        <v>587</v>
      </c>
      <c r="M51" s="108" t="s">
        <v>587</v>
      </c>
      <c r="N51" s="108" t="s">
        <v>587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2564</v>
      </c>
      <c r="R51" s="54" t="s">
        <v>2502</v>
      </c>
      <c r="S51" s="6" t="s">
        <v>587</v>
      </c>
    </row>
    <row r="52" customFormat="false" ht="58.2" hidden="false" customHeight="false" outlineLevel="0" collapsed="false">
      <c r="A52" s="54" t="s">
        <v>2567</v>
      </c>
      <c r="B52" s="5" t="s">
        <v>2568</v>
      </c>
      <c r="C52" s="6" t="s">
        <v>2569</v>
      </c>
      <c r="D52" s="118" t="n">
        <f aca="false">IF(ISNUMBER(INDEX(IF_RevGWFleet,1,11)),INDEX(IF_HoldEcon,1,11)/(INDEX(IF_RevGWFleet,1,11)/IF_Util),"SLO 不可達")</f>
        <v>0.15715574057613</v>
      </c>
      <c r="E52" s="108" t="n">
        <f aca="false">IF(ISNUMBER(INDEX(IF_RevGWFleet,1,10)),INDEX(IF_HoldEcon,1,10)/(INDEX(IF_RevGWFleet,1,10)/IF_Util),"SLO 不可達")</f>
        <v>0.121132182579505</v>
      </c>
      <c r="F52" s="108" t="n">
        <f aca="false">IF(ISNUMBER(INDEX(IF_RevGWFleet,1,12)),INDEX(IF_HoldEcon,1,12)/(INDEX(IF_RevGWFleet,1,12)/IF_Util),"SLO 不可達")</f>
        <v>0.254636925209261</v>
      </c>
      <c r="G52" s="54" t="s">
        <v>83</v>
      </c>
      <c r="H52" s="5" t="s">
        <v>2296</v>
      </c>
      <c r="I52" s="6" t="s">
        <v>2570</v>
      </c>
      <c r="J52" s="5" t="s">
        <v>2571</v>
      </c>
      <c r="K52" s="5" t="s">
        <v>2572</v>
      </c>
      <c r="L52" s="54" t="s">
        <v>587</v>
      </c>
      <c r="M52" s="108" t="s">
        <v>587</v>
      </c>
      <c r="N52" s="108" t="s">
        <v>587</v>
      </c>
      <c r="O52" s="69" t="str">
        <f aca="false">IF(AND(ISNUMBER(D52),ISNUMBER(M52),ISNUMBER(N52)),D52/((M52+N52)/2),"—")</f>
        <v>—</v>
      </c>
      <c r="P52" s="53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54" t="s">
        <v>2567</v>
      </c>
      <c r="R52" s="54" t="s">
        <v>2573</v>
      </c>
      <c r="S52" s="6" t="s">
        <v>587</v>
      </c>
    </row>
    <row r="53" customFormat="false" ht="86.55" hidden="false" customHeight="false" outlineLevel="0" collapsed="false">
      <c r="A53" s="54" t="s">
        <v>2574</v>
      </c>
      <c r="B53" s="5" t="s">
        <v>2575</v>
      </c>
      <c r="C53" s="6" t="s">
        <v>2576</v>
      </c>
      <c r="D53" s="118" t="n">
        <f aca="false">IF(ISNUMBER(L1_FleetBreakeven),IF_Util*CTL_ProdDerate*CTL_PriceLife*CTL_Monetize/L1_FleetBreakeven,"SLO 不可達")</f>
        <v>3.24518848710425</v>
      </c>
      <c r="E53" s="108" t="n">
        <f aca="false">IF(ISNUMBER(L1_FleetBreakeven_Hi),IF_Util*CTL_ProdDerate*CTL_PriceLife*CTL_Monetize/L1_FleetBreakeven_Hi,"SLO 不可達")</f>
        <v>2.00285170574095</v>
      </c>
      <c r="F53" s="108" t="n">
        <f aca="false">IF(ISNUMBER(L1_FleetBreakeven_Lo),IF_Util*CTL_ProdDerate*CTL_PriceLife*CTL_Monetize/L1_FleetBreakeven_Lo,"SLO 不可達")</f>
        <v>4.21027665100696</v>
      </c>
      <c r="G53" s="54" t="s">
        <v>83</v>
      </c>
      <c r="H53" s="5" t="s">
        <v>2577</v>
      </c>
      <c r="I53" s="5" t="s">
        <v>2578</v>
      </c>
      <c r="J53" s="5" t="s">
        <v>2579</v>
      </c>
      <c r="K53" s="5" t="s">
        <v>2580</v>
      </c>
      <c r="L53" s="54" t="s">
        <v>2556</v>
      </c>
      <c r="M53" s="87" t="n">
        <f aca="false">1-SRC_DEM_018/SRC_DEM_007</f>
        <v>0.0359602142310636</v>
      </c>
      <c r="N53" s="87" t="n">
        <f aca="false">1-SRC_DEM_018/SRC_DEM_007</f>
        <v>0.0359602142310636</v>
      </c>
      <c r="O53" s="69" t="n">
        <f aca="false">IF(AND(ISNUMBER(D53),ISNUMBER(M53),ISNUMBER(N53)),D53/((M53+N53)/2),"—")</f>
        <v>90.2438585669202</v>
      </c>
      <c r="P53" s="53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差距 &gt;20%</v>
      </c>
      <c r="Q53" s="54" t="s">
        <v>2574</v>
      </c>
      <c r="R53" s="54" t="s">
        <v>2581</v>
      </c>
      <c r="S53" s="5" t="s">
        <v>2582</v>
      </c>
    </row>
    <row r="54" customFormat="false" ht="44" hidden="false" customHeight="false" outlineLevel="0" collapsed="false">
      <c r="A54" s="54" t="s">
        <v>2583</v>
      </c>
      <c r="B54" s="5" t="s">
        <v>2584</v>
      </c>
      <c r="C54" s="5" t="s">
        <v>2585</v>
      </c>
      <c r="D54" s="118" t="n">
        <f aca="false">L1_HoldEconGW_Hopper/1000</f>
        <v>0.0100957952959174</v>
      </c>
      <c r="E54" s="108" t="n">
        <f aca="false">L1_HoldEconGW_Hopper_Lo/1000</f>
        <v>0.0070000433103819</v>
      </c>
      <c r="F54" s="108" t="n">
        <f aca="false">L1_HoldEconGW_Hopper_Hi/1000</f>
        <v>0.0174059720636914</v>
      </c>
      <c r="G54" s="54" t="s">
        <v>2586</v>
      </c>
      <c r="H54" s="5" t="s">
        <v>2296</v>
      </c>
      <c r="I54" s="5" t="s">
        <v>2587</v>
      </c>
      <c r="J54" s="6" t="s">
        <v>2588</v>
      </c>
      <c r="K54" s="5" t="s">
        <v>2331</v>
      </c>
      <c r="L54" s="54" t="s">
        <v>587</v>
      </c>
      <c r="M54" s="108" t="s">
        <v>587</v>
      </c>
      <c r="N54" s="108" t="s">
        <v>587</v>
      </c>
      <c r="O54" s="69" t="str">
        <f aca="false">IF(AND(ISNUMBER(D54),ISNUMBER(M54),ISNUMBER(N54)),D54/((M54+N54)/2),"—")</f>
        <v>—</v>
      </c>
      <c r="P54" s="53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54" t="s">
        <v>2583</v>
      </c>
      <c r="R54" s="54" t="s">
        <v>2589</v>
      </c>
      <c r="S54" s="6" t="s">
        <v>587</v>
      </c>
    </row>
    <row r="55" customFormat="false" ht="44" hidden="false" customHeight="false" outlineLevel="0" collapsed="false">
      <c r="A55" s="54" t="s">
        <v>2590</v>
      </c>
      <c r="B55" s="5" t="s">
        <v>2591</v>
      </c>
      <c r="C55" s="5" t="s">
        <v>2585</v>
      </c>
      <c r="D55" s="118" t="n">
        <f aca="false">L1_HoldEconGW_GB200/1000</f>
        <v>0.00917098191725462</v>
      </c>
      <c r="E55" s="108" t="n">
        <f aca="false">L1_HoldEconGW_GB200_Lo/1000</f>
        <v>0.00681316695089878</v>
      </c>
      <c r="F55" s="108" t="n">
        <f aca="false">L1_HoldEconGW_GB200_Hi/1000</f>
        <v>0.0149200285257983</v>
      </c>
      <c r="G55" s="54" t="s">
        <v>2586</v>
      </c>
      <c r="H55" s="5" t="s">
        <v>2296</v>
      </c>
      <c r="I55" s="5" t="s">
        <v>2587</v>
      </c>
      <c r="J55" s="6" t="s">
        <v>2588</v>
      </c>
      <c r="K55" s="5" t="s">
        <v>2331</v>
      </c>
      <c r="L55" s="54" t="s">
        <v>587</v>
      </c>
      <c r="M55" s="108" t="s">
        <v>587</v>
      </c>
      <c r="N55" s="108" t="s">
        <v>587</v>
      </c>
      <c r="O55" s="69" t="str">
        <f aca="false">IF(AND(ISNUMBER(D55),ISNUMBER(M55),ISNUMBER(N55)),D55/((M55+N55)/2),"—")</f>
        <v>—</v>
      </c>
      <c r="P55" s="53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54" t="s">
        <v>2590</v>
      </c>
      <c r="R55" s="54" t="s">
        <v>2589</v>
      </c>
      <c r="S55" s="6" t="s">
        <v>587</v>
      </c>
    </row>
    <row r="56" customFormat="false" ht="44" hidden="false" customHeight="false" outlineLevel="0" collapsed="false">
      <c r="A56" s="54" t="s">
        <v>2592</v>
      </c>
      <c r="B56" s="5" t="s">
        <v>2593</v>
      </c>
      <c r="C56" s="5" t="s">
        <v>2585</v>
      </c>
      <c r="D56" s="118" t="n">
        <f aca="false">L1_HoldEconGW_GB300/1000</f>
        <v>0.0127247463559608</v>
      </c>
      <c r="E56" s="108" t="n">
        <f aca="false">L1_HoldEconGW_GB300_Lo/1000</f>
        <v>0.00870747076237914</v>
      </c>
      <c r="F56" s="108" t="n">
        <f aca="false">L1_HoldEconGW_GB300_Hi/1000</f>
        <v>0.02387186935202</v>
      </c>
      <c r="G56" s="54" t="s">
        <v>2586</v>
      </c>
      <c r="H56" s="5" t="s">
        <v>2296</v>
      </c>
      <c r="I56" s="5" t="s">
        <v>2587</v>
      </c>
      <c r="J56" s="6" t="s">
        <v>2588</v>
      </c>
      <c r="K56" s="5" t="s">
        <v>2331</v>
      </c>
      <c r="L56" s="54" t="s">
        <v>2408</v>
      </c>
      <c r="M56" s="87" t="n">
        <f aca="false">SRC_PRC_002</f>
        <v>3.57</v>
      </c>
      <c r="N56" s="87" t="n">
        <f aca="false">SRC_PRC_002</f>
        <v>3.57</v>
      </c>
      <c r="O56" s="69" t="n">
        <f aca="false">IF(AND(ISNUMBER(D56),ISNUMBER(M56),ISNUMBER(N56)),D56/((M56+N56)/2),"—")</f>
        <v>0.00356435472155763</v>
      </c>
      <c r="P56" s="53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差距 &gt;20%</v>
      </c>
      <c r="Q56" s="54" t="s">
        <v>2592</v>
      </c>
      <c r="R56" s="54" t="s">
        <v>2589</v>
      </c>
      <c r="S56" s="5" t="s">
        <v>2594</v>
      </c>
    </row>
    <row r="57" customFormat="false" ht="44" hidden="false" customHeight="false" outlineLevel="0" collapsed="false">
      <c r="A57" s="54" t="s">
        <v>2595</v>
      </c>
      <c r="B57" s="5" t="s">
        <v>2596</v>
      </c>
      <c r="C57" s="5" t="s">
        <v>2585</v>
      </c>
      <c r="D57" s="118" t="n">
        <f aca="false">L1_HoldEconGW_VR200/1000</f>
        <v>0.0127620157762701</v>
      </c>
      <c r="E57" s="108" t="n">
        <f aca="false">L1_HoldEconGW_VR200_Lo/1000</f>
        <v>0.00983668060375303</v>
      </c>
      <c r="F57" s="108" t="n">
        <f aca="false">L1_HoldEconGW_VR200_Hi/1000</f>
        <v>0.0206780894215396</v>
      </c>
      <c r="G57" s="54" t="s">
        <v>2586</v>
      </c>
      <c r="H57" s="5" t="s">
        <v>2296</v>
      </c>
      <c r="I57" s="5" t="s">
        <v>2587</v>
      </c>
      <c r="J57" s="6" t="s">
        <v>2588</v>
      </c>
      <c r="K57" s="5" t="s">
        <v>2331</v>
      </c>
      <c r="L57" s="54" t="s">
        <v>587</v>
      </c>
      <c r="M57" s="108" t="s">
        <v>587</v>
      </c>
      <c r="N57" s="108" t="s">
        <v>587</v>
      </c>
      <c r="O57" s="69" t="str">
        <f aca="false">IF(AND(ISNUMBER(D57),ISNUMBER(M57),ISNUMBER(N57)),D57/((M57+N57)/2),"—")</f>
        <v>—</v>
      </c>
      <c r="P57" s="53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54" t="s">
        <v>2595</v>
      </c>
      <c r="R57" s="54" t="s">
        <v>2589</v>
      </c>
      <c r="S57" s="6" t="s">
        <v>587</v>
      </c>
    </row>
    <row r="58" customFormat="false" ht="44" hidden="false" customHeight="false" outlineLevel="0" collapsed="false">
      <c r="A58" s="54" t="s">
        <v>2597</v>
      </c>
      <c r="B58" s="5" t="s">
        <v>2598</v>
      </c>
      <c r="C58" s="5" t="s">
        <v>2599</v>
      </c>
      <c r="D58" s="118" t="n">
        <f aca="false">INDEX(IF_TokGW_Sol,1,5)/INDEX(IF_TokGW_Sol,1,2)</f>
        <v>4.84519865841925</v>
      </c>
      <c r="E58" s="108" t="n">
        <f aca="false">INDEX(IF_TokGW_Sol,1,5)/INDEX(IF_TokGW_Sol,1,2)</f>
        <v>4.84519865841925</v>
      </c>
      <c r="F58" s="108" t="n">
        <f aca="false">INDEX(IF_TokGW_Sol,1,5)/INDEX(IF_TokGW_Sol,1,2)</f>
        <v>4.84519865841925</v>
      </c>
      <c r="G58" s="54" t="s">
        <v>83</v>
      </c>
      <c r="H58" s="5" t="s">
        <v>2600</v>
      </c>
      <c r="I58" s="5" t="s">
        <v>2601</v>
      </c>
      <c r="J58" s="6" t="s">
        <v>2602</v>
      </c>
      <c r="K58" s="6" t="s">
        <v>2603</v>
      </c>
      <c r="L58" s="54" t="s">
        <v>587</v>
      </c>
      <c r="M58" s="108" t="s">
        <v>587</v>
      </c>
      <c r="N58" s="108" t="s">
        <v>587</v>
      </c>
      <c r="O58" s="69" t="str">
        <f aca="false">IF(AND(ISNUMBER(D58),ISNUMBER(M58),ISNUMBER(N58)),D58/((M58+N58)/2),"—")</f>
        <v>—</v>
      </c>
      <c r="P58" s="53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54" t="s">
        <v>2597</v>
      </c>
      <c r="R58" s="54" t="s">
        <v>2604</v>
      </c>
      <c r="S58" s="6" t="s">
        <v>2605</v>
      </c>
    </row>
    <row r="59" customFormat="false" ht="72.35" hidden="false" customHeight="false" outlineLevel="0" collapsed="false">
      <c r="A59" s="54" t="s">
        <v>2606</v>
      </c>
      <c r="B59" s="5" t="s">
        <v>2607</v>
      </c>
      <c r="C59" s="5" t="s">
        <v>2599</v>
      </c>
      <c r="D59" s="118" t="n">
        <f aca="false">INDEX(IF_TokGW_Sol,1,8)/INDEX(IF_TokGW_Sol,1,5)</f>
        <v>1.45587602238485</v>
      </c>
      <c r="E59" s="108" t="n">
        <f aca="false">INDEX(IF_TokGW_Sol,1,8)/INDEX(IF_TokGW_Sol,1,5)</f>
        <v>1.45587602238485</v>
      </c>
      <c r="F59" s="108" t="n">
        <f aca="false">INDEX(IF_TokGW_Sol,1,8)/INDEX(IF_TokGW_Sol,1,5)</f>
        <v>1.45587602238485</v>
      </c>
      <c r="G59" s="54" t="s">
        <v>83</v>
      </c>
      <c r="H59" s="5" t="s">
        <v>2600</v>
      </c>
      <c r="I59" s="5" t="s">
        <v>2601</v>
      </c>
      <c r="J59" s="6" t="s">
        <v>2602</v>
      </c>
      <c r="K59" s="6" t="s">
        <v>2603</v>
      </c>
      <c r="L59" s="54" t="s">
        <v>2608</v>
      </c>
      <c r="M59" s="87" t="n">
        <f aca="false">SRC_PERF_024/SRC_PERF_025</f>
        <v>1.04292645577943</v>
      </c>
      <c r="N59" s="87" t="n">
        <f aca="false">SRC_PERF_024/SRC_PERF_025</f>
        <v>1.04292645577943</v>
      </c>
      <c r="O59" s="69" t="n">
        <f aca="false">IF(AND(ISNUMBER(D59),ISNUMBER(M59),ISNUMBER(N59)),D59/((M59+N59)/2),"—")</f>
        <v>1.39595271969279</v>
      </c>
      <c r="P59" s="53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54" t="s">
        <v>2606</v>
      </c>
      <c r="R59" s="54" t="s">
        <v>2604</v>
      </c>
      <c r="S59" s="5" t="s">
        <v>2609</v>
      </c>
    </row>
    <row r="60" customFormat="false" ht="72.35" hidden="false" customHeight="false" outlineLevel="0" collapsed="false">
      <c r="A60" s="54" t="s">
        <v>2610</v>
      </c>
      <c r="B60" s="5" t="s">
        <v>2611</v>
      </c>
      <c r="C60" s="5" t="s">
        <v>2599</v>
      </c>
      <c r="D60" s="118" t="n">
        <f aca="false">INDEX(IF_TokGW_Sol,1,11)/INDEX(IF_TokGW_Sol,1,8)</f>
        <v>1.56528522129431</v>
      </c>
      <c r="E60" s="87" t="n">
        <f aca="false">Sens_Perf!$E$98/Sens_Perf!$F$98</f>
        <v>0.915334889924169</v>
      </c>
      <c r="F60" s="87" t="n">
        <f aca="false">Sens_Perf!$G$98/Sens_Perf!$H$98</f>
        <v>2.0506531956019</v>
      </c>
      <c r="G60" s="54" t="s">
        <v>83</v>
      </c>
      <c r="H60" s="6" t="s">
        <v>2612</v>
      </c>
      <c r="I60" s="5" t="s">
        <v>2601</v>
      </c>
      <c r="J60" s="6" t="s">
        <v>2602</v>
      </c>
      <c r="K60" s="6" t="s">
        <v>2603</v>
      </c>
      <c r="L60" s="54" t="s">
        <v>2613</v>
      </c>
      <c r="M60" s="87" t="n">
        <f aca="false">SRC_PERF_027/SRC_PERF_028</f>
        <v>2.5748897461993</v>
      </c>
      <c r="N60" s="87" t="n">
        <f aca="false">SRC_PERF_027/SRC_PERF_028</f>
        <v>2.5748897461993</v>
      </c>
      <c r="O60" s="69" t="n">
        <f aca="false">IF(AND(ISNUMBER(D60),ISNUMBER(M60),ISNUMBER(N60)),D60/((M60+N60)/2),"—")</f>
        <v>0.607903784464855</v>
      </c>
      <c r="P60" s="53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54" t="s">
        <v>2610</v>
      </c>
      <c r="R60" s="54" t="s">
        <v>2604</v>
      </c>
      <c r="S60" s="5" t="s">
        <v>2609</v>
      </c>
    </row>
    <row r="61" customFormat="false" ht="44" hidden="false" customHeight="false" outlineLevel="0" collapsed="false">
      <c r="A61" s="54" t="s">
        <v>2614</v>
      </c>
      <c r="B61" s="6" t="s">
        <v>2615</v>
      </c>
      <c r="C61" s="6" t="s">
        <v>2616</v>
      </c>
      <c r="D61" s="118" t="n">
        <f aca="false">IF(AND(ISNUMBER(INDEX(IF_HarR_Sol,1,1)),ISNUMBER(INDEX(IF_CostDec_Sol,1,11)),ISNUMBER(INDEX(IF_CostDec_Sol,1,8))),INDEX(IF_HarR_Sol,1,1)/(INDEX(IF_CostDec_Sol,1,11)/INDEX(IF_CostDec_Sol,1,8)),"SLO 不可達")</f>
        <v>1.62890425733612</v>
      </c>
      <c r="E61" s="108" t="n">
        <f aca="false">IF(AND(ISNUMBER(INDEX(IF_HarR_Sol,1,1)),ISNUMBER(INDEX(IF_CostDec_Sol,1,11)),ISNUMBER(INDEX(IF_CostDec_Sol,1,8))),INDEX(IF_HarR_Sol,1,1)/(INDEX(IF_CostDec_Sol,1,11)/INDEX(IF_CostDec_Sol,1,8)),"SLO 不可達")</f>
        <v>1.62890425733612</v>
      </c>
      <c r="F61" s="108" t="n">
        <f aca="false">IF(AND(ISNUMBER(INDEX(IF_HarR_Sol,1,1)),ISNUMBER(INDEX(IF_CostDec_Sol,1,11)),ISNUMBER(INDEX(IF_CostDec_Sol,1,8))),INDEX(IF_HarR_Sol,1,1)/(INDEX(IF_CostDec_Sol,1,11)/INDEX(IF_CostDec_Sol,1,8)),"SLO 不可達")</f>
        <v>1.62890425733612</v>
      </c>
      <c r="G61" s="54" t="s">
        <v>83</v>
      </c>
      <c r="H61" s="5" t="s">
        <v>2617</v>
      </c>
      <c r="I61" s="6" t="s">
        <v>2618</v>
      </c>
      <c r="J61" s="6" t="s">
        <v>2619</v>
      </c>
      <c r="K61" s="6" t="s">
        <v>2515</v>
      </c>
      <c r="L61" s="54" t="s">
        <v>2620</v>
      </c>
      <c r="M61" s="87" t="n">
        <f aca="false">SRC_HAR_006/SRC_HAR_004</f>
        <v>0.664112192505173</v>
      </c>
      <c r="N61" s="87" t="n">
        <f aca="false">SRC_HAR_006/SRC_HAR_004</f>
        <v>0.664112192505173</v>
      </c>
      <c r="O61" s="69" t="n">
        <f aca="false">IF(AND(ISNUMBER(D61),ISNUMBER(M61),ISNUMBER(N61)),D61/((M61+N61)/2),"—")</f>
        <v>2.45275463350785</v>
      </c>
      <c r="P61" s="53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54" t="s">
        <v>2614</v>
      </c>
      <c r="R61" s="54" t="s">
        <v>2621</v>
      </c>
      <c r="S61" s="5" t="s">
        <v>2622</v>
      </c>
    </row>
    <row r="62" customFormat="false" ht="44" hidden="false" customHeight="false" outlineLevel="0" collapsed="false">
      <c r="A62" s="54" t="s">
        <v>2623</v>
      </c>
      <c r="B62" s="6" t="s">
        <v>2624</v>
      </c>
      <c r="C62" s="6" t="s">
        <v>2625</v>
      </c>
      <c r="D62" s="118" t="n">
        <f aca="false">IF(AND(ISNUMBER(INDEX(IF_HarR_Sol,1,2)),ISNUMBER(INDEX(IF_CostDec_Sol,1,11)),ISNUMBER(INDEX(IF_CostDec_Sol,1,8))),INDEX(IF_HarR_Sol,1,2)/(INDEX(IF_CostDec_Sol,1,11)/INDEX(IF_CostDec_Sol,1,8)),"SLO 不可達")</f>
        <v>1.62890425733612</v>
      </c>
      <c r="E62" s="108" t="n">
        <f aca="false">IF(AND(ISNUMBER(INDEX(IF_HarR_Sol,1,2)),ISNUMBER(INDEX(IF_CostDec_Sol,1,11)),ISNUMBER(INDEX(IF_CostDec_Sol,1,8))),INDEX(IF_HarR_Sol,1,2)/(INDEX(IF_CostDec_Sol,1,11)/INDEX(IF_CostDec_Sol,1,8)),"SLO 不可達")</f>
        <v>1.62890425733612</v>
      </c>
      <c r="F62" s="108" t="n">
        <f aca="false">IF(AND(ISNUMBER(INDEX(IF_HarR_Sol,1,2)),ISNUMBER(INDEX(IF_CostDec_Sol,1,11)),ISNUMBER(INDEX(IF_CostDec_Sol,1,8))),INDEX(IF_HarR_Sol,1,2)/(INDEX(IF_CostDec_Sol,1,11)/INDEX(IF_CostDec_Sol,1,8)),"SLO 不可達")</f>
        <v>1.62890425733612</v>
      </c>
      <c r="G62" s="54" t="s">
        <v>83</v>
      </c>
      <c r="H62" s="5" t="s">
        <v>2617</v>
      </c>
      <c r="I62" s="6" t="s">
        <v>2618</v>
      </c>
      <c r="J62" s="6" t="s">
        <v>2619</v>
      </c>
      <c r="K62" s="6" t="s">
        <v>2515</v>
      </c>
      <c r="L62" s="54" t="s">
        <v>2620</v>
      </c>
      <c r="M62" s="87" t="n">
        <f aca="false">SRC_HAR_006/SRC_HAR_004</f>
        <v>0.664112192505173</v>
      </c>
      <c r="N62" s="87" t="n">
        <f aca="false">SRC_HAR_006/SRC_HAR_004</f>
        <v>0.664112192505173</v>
      </c>
      <c r="O62" s="69" t="n">
        <f aca="false">IF(AND(ISNUMBER(D62),ISNUMBER(M62),ISNUMBER(N62)),D62/((M62+N62)/2),"—")</f>
        <v>2.45275463350785</v>
      </c>
      <c r="P62" s="53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54" t="s">
        <v>2623</v>
      </c>
      <c r="R62" s="54" t="s">
        <v>2621</v>
      </c>
      <c r="S62" s="5" t="s">
        <v>2622</v>
      </c>
    </row>
    <row r="63" customFormat="false" ht="44" hidden="false" customHeight="false" outlineLevel="0" collapsed="false">
      <c r="A63" s="54" t="s">
        <v>2626</v>
      </c>
      <c r="B63" s="6" t="s">
        <v>2627</v>
      </c>
      <c r="C63" s="6" t="s">
        <v>2628</v>
      </c>
      <c r="D63" s="118" t="n">
        <f aca="false">IF(AND(ISNUMBER(INDEX(IF_HarR_Sol,1,3)),ISNUMBER(INDEX(IF_CostDec_Sol,1,11)),ISNUMBER(INDEX(IF_CostDec_Sol,1,8))),INDEX(IF_HarR_Sol,1,3)/(INDEX(IF_CostDec_Sol,1,11)/INDEX(IF_CostDec_Sol,1,8)),"SLO 不可達")</f>
        <v>0.985999263820973</v>
      </c>
      <c r="E63" s="108" t="n">
        <f aca="false">IF(AND(ISNUMBER(INDEX(IF_HarR_Sol,1,3)),ISNUMBER(INDEX(IF_CostDec_Sol,1,11)),ISNUMBER(INDEX(IF_CostDec_Sol,1,8))),INDEX(IF_HarR_Sol,1,3)/(INDEX(IF_CostDec_Sol,1,11)/INDEX(IF_CostDec_Sol,1,8)),"SLO 不可達")</f>
        <v>0.985999263820973</v>
      </c>
      <c r="F63" s="108" t="n">
        <f aca="false">IF(AND(ISNUMBER(INDEX(IF_HarR_Sol,1,3)),ISNUMBER(INDEX(IF_CostDec_Sol,1,11)),ISNUMBER(INDEX(IF_CostDec_Sol,1,8))),INDEX(IF_HarR_Sol,1,3)/(INDEX(IF_CostDec_Sol,1,11)/INDEX(IF_CostDec_Sol,1,8)),"SLO 不可達")</f>
        <v>0.985999263820973</v>
      </c>
      <c r="G63" s="54" t="s">
        <v>83</v>
      </c>
      <c r="H63" s="5" t="s">
        <v>2617</v>
      </c>
      <c r="I63" s="6" t="s">
        <v>2618</v>
      </c>
      <c r="J63" s="6" t="s">
        <v>2619</v>
      </c>
      <c r="K63" s="6" t="s">
        <v>2515</v>
      </c>
      <c r="L63" s="54" t="s">
        <v>2620</v>
      </c>
      <c r="M63" s="87" t="n">
        <f aca="false">SRC_HAR_006/SRC_HAR_004</f>
        <v>0.664112192505173</v>
      </c>
      <c r="N63" s="87" t="n">
        <f aca="false">SRC_HAR_006/SRC_HAR_004</f>
        <v>0.664112192505173</v>
      </c>
      <c r="O63" s="69" t="n">
        <f aca="false">IF(AND(ISNUMBER(D63),ISNUMBER(M63),ISNUMBER(N63)),D63/((M63+N63)/2),"—")</f>
        <v>1.48468779063003</v>
      </c>
      <c r="P63" s="53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54" t="s">
        <v>2626</v>
      </c>
      <c r="R63" s="54" t="s">
        <v>2621</v>
      </c>
      <c r="S63" s="5" t="s">
        <v>2622</v>
      </c>
    </row>
    <row r="64" customFormat="false" ht="44" hidden="false" customHeight="false" outlineLevel="0" collapsed="false">
      <c r="A64" s="54" t="s">
        <v>2629</v>
      </c>
      <c r="B64" s="6" t="s">
        <v>2630</v>
      </c>
      <c r="C64" s="6" t="s">
        <v>2631</v>
      </c>
      <c r="D64" s="118" t="n">
        <f aca="false">IF(AND(ISNUMBER(INDEX(IF_HarR_Sol,1,4)),ISNUMBER(INDEX(IF_CostDec_Sol,1,11)),ISNUMBER(INDEX(IF_CostDec_Sol,1,8))),INDEX(IF_HarR_Sol,1,4)/(INDEX(IF_CostDec_Sol,1,11)/INDEX(IF_CostDec_Sol,1,8)),"SLO 不可達")</f>
        <v>0.894290016517509</v>
      </c>
      <c r="E64" s="108" t="n">
        <f aca="false">IF(AND(ISNUMBER(INDEX(IF_HarR_Sol,1,4)),ISNUMBER(INDEX(IF_CostDec_Sol,1,11)),ISNUMBER(INDEX(IF_CostDec_Sol,1,8))),INDEX(IF_HarR_Sol,1,4)/(INDEX(IF_CostDec_Sol,1,11)/INDEX(IF_CostDec_Sol,1,8)),"SLO 不可達")</f>
        <v>0.894290016517509</v>
      </c>
      <c r="F64" s="108" t="n">
        <f aca="false">IF(AND(ISNUMBER(INDEX(IF_HarR_Sol,1,4)),ISNUMBER(INDEX(IF_CostDec_Sol,1,11)),ISNUMBER(INDEX(IF_CostDec_Sol,1,8))),INDEX(IF_HarR_Sol,1,4)/(INDEX(IF_CostDec_Sol,1,11)/INDEX(IF_CostDec_Sol,1,8)),"SLO 不可達")</f>
        <v>0.894290016517509</v>
      </c>
      <c r="G64" s="54" t="s">
        <v>83</v>
      </c>
      <c r="H64" s="5" t="s">
        <v>2617</v>
      </c>
      <c r="I64" s="6" t="s">
        <v>2618</v>
      </c>
      <c r="J64" s="6" t="s">
        <v>2619</v>
      </c>
      <c r="K64" s="6" t="s">
        <v>2515</v>
      </c>
      <c r="L64" s="54" t="s">
        <v>2620</v>
      </c>
      <c r="M64" s="87" t="n">
        <f aca="false">SRC_HAR_006/SRC_HAR_004</f>
        <v>0.664112192505173</v>
      </c>
      <c r="N64" s="87" t="n">
        <f aca="false">SRC_HAR_006/SRC_HAR_004</f>
        <v>0.664112192505173</v>
      </c>
      <c r="O64" s="69" t="n">
        <f aca="false">IF(AND(ISNUMBER(D64),ISNUMBER(M64),ISNUMBER(N64)),D64/((M64+N64)/2),"—")</f>
        <v>1.34659478716097</v>
      </c>
      <c r="P64" s="53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54" t="s">
        <v>2629</v>
      </c>
      <c r="R64" s="54" t="s">
        <v>2621</v>
      </c>
      <c r="S64" s="5" t="s">
        <v>2622</v>
      </c>
    </row>
    <row r="65" customFormat="false" ht="44" hidden="false" customHeight="false" outlineLevel="0" collapsed="false">
      <c r="A65" s="54" t="s">
        <v>2632</v>
      </c>
      <c r="B65" s="6" t="s">
        <v>2633</v>
      </c>
      <c r="C65" s="6" t="s">
        <v>2634</v>
      </c>
      <c r="D65" s="118" t="n">
        <f aca="false">IF(AND(ISNUMBER(INDEX(IF_HarR_Sol,1,5)),ISNUMBER(INDEX(IF_CostDec_Sol,1,11)),ISNUMBER(INDEX(IF_CostDec_Sol,1,8))),INDEX(IF_HarR_Sol,1,5)/(INDEX(IF_CostDec_Sol,1,11)/INDEX(IF_CostDec_Sol,1,8)),"SLO 不可達")</f>
        <v>0.7806985131343</v>
      </c>
      <c r="E65" s="87" t="n">
        <f aca="false">IF(AND(ISNUMBER(INDEX(IF_HarR_Sol,1,5)),ISNUMBER(INDEX(IF_CostDec_Sol,1,11)),ISNUMBER(INDEX(IF_CostDec_Sol,1,8))),MIN(Sens_Har!$C$33:$S$33)/(INDEX(IF_CostDec_Sol,1,11)/INDEX(IF_CostDec_Sol,1,8)),"SLO 不可達")</f>
        <v>0.541670658445005</v>
      </c>
      <c r="F65" s="87" t="n">
        <f aca="false">IF(AND(ISNUMBER(INDEX(IF_HarR_Sol,1,5)),ISNUMBER(INDEX(IF_CostDec_Sol,1,11)),ISNUMBER(INDEX(IF_CostDec_Sol,1,8))),MAX(Sens_Har!$C$33:$S$33)/(INDEX(IF_CostDec_Sol,1,11)/INDEX(IF_CostDec_Sol,1,8)),"SLO 不可達")</f>
        <v>1.16319700014463</v>
      </c>
      <c r="G65" s="54" t="s">
        <v>83</v>
      </c>
      <c r="H65" s="6" t="s">
        <v>2635</v>
      </c>
      <c r="I65" s="6" t="s">
        <v>2618</v>
      </c>
      <c r="J65" s="6" t="s">
        <v>2619</v>
      </c>
      <c r="K65" s="6" t="s">
        <v>2515</v>
      </c>
      <c r="L65" s="54" t="s">
        <v>2620</v>
      </c>
      <c r="M65" s="87" t="n">
        <f aca="false">SRC_HAR_006/SRC_HAR_004</f>
        <v>0.664112192505173</v>
      </c>
      <c r="N65" s="87" t="n">
        <f aca="false">SRC_HAR_006/SRC_HAR_004</f>
        <v>0.664112192505173</v>
      </c>
      <c r="O65" s="69" t="n">
        <f aca="false">IF(AND(ISNUMBER(D65),ISNUMBER(M65),ISNUMBER(N65)),D65/((M65+N65)/2),"—")</f>
        <v>1.17555214607541</v>
      </c>
      <c r="P65" s="53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54" t="s">
        <v>2632</v>
      </c>
      <c r="R65" s="54" t="s">
        <v>2621</v>
      </c>
      <c r="S65" s="5" t="s">
        <v>2622</v>
      </c>
    </row>
    <row r="66" customFormat="false" ht="29.85" hidden="false" customHeight="false" outlineLevel="0" collapsed="false">
      <c r="A66" s="54" t="s">
        <v>2636</v>
      </c>
      <c r="B66" s="6" t="s">
        <v>2637</v>
      </c>
      <c r="C66" s="6" t="s">
        <v>2638</v>
      </c>
      <c r="D66" s="118" t="n">
        <f aca="false">SRC_MOD_055</f>
        <v>1.0001E+027</v>
      </c>
      <c r="E66" s="108" t="n">
        <f aca="false">SRC_MOD_055_Lo</f>
        <v>5E+026</v>
      </c>
      <c r="F66" s="108" t="n">
        <f aca="false">SRC_MOD_055_Hi</f>
        <v>2E+027</v>
      </c>
      <c r="G66" s="54" t="s">
        <v>280</v>
      </c>
      <c r="H66" s="6" t="s">
        <v>2639</v>
      </c>
      <c r="I66" s="5" t="s">
        <v>2640</v>
      </c>
      <c r="J66" s="6" t="s">
        <v>2641</v>
      </c>
      <c r="K66" s="6" t="s">
        <v>2642</v>
      </c>
      <c r="L66" s="54" t="s">
        <v>2454</v>
      </c>
      <c r="M66" s="87" t="n">
        <f aca="false">SRC_MOD_055</f>
        <v>1.0001E+027</v>
      </c>
      <c r="N66" s="87" t="n">
        <f aca="false">SRC_MOD_055</f>
        <v>1.0001E+027</v>
      </c>
      <c r="O66" s="69" t="n">
        <f aca="false">IF(AND(ISNUMBER(D66),ISNUMBER(M66),ISNUMBER(N66)),D66/((M66+N66)/2),"—")</f>
        <v>1</v>
      </c>
      <c r="P66" s="53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54" t="s">
        <v>2636</v>
      </c>
      <c r="R66" s="54" t="s">
        <v>2643</v>
      </c>
      <c r="S66" s="6" t="s">
        <v>587</v>
      </c>
    </row>
    <row r="67" customFormat="false" ht="29.85" hidden="false" customHeight="false" outlineLevel="0" collapsed="false">
      <c r="A67" s="54" t="s">
        <v>2644</v>
      </c>
      <c r="B67" s="6" t="s">
        <v>2645</v>
      </c>
      <c r="C67" s="6" t="s">
        <v>2646</v>
      </c>
      <c r="D67" s="118" t="n">
        <f aca="false">L1_PretrainFLOP_Astra_Ext/L1_PretrainFLOP_Astra</f>
        <v>14.6162424528429</v>
      </c>
      <c r="E67" s="108" t="n">
        <f aca="false">L1_PretrainFLOP_Astra_Ext_Lo/L1_PretrainFLOP_Astra</f>
        <v>7.30739048737272</v>
      </c>
      <c r="F67" s="108" t="n">
        <f aca="false">L1_PretrainFLOP_Astra_Ext_Hi/L1_PretrainFLOP_Astra</f>
        <v>29.2295619494909</v>
      </c>
      <c r="G67" s="54" t="s">
        <v>83</v>
      </c>
      <c r="H67" s="5" t="s">
        <v>2647</v>
      </c>
      <c r="I67" s="5" t="s">
        <v>2648</v>
      </c>
      <c r="J67" s="6" t="s">
        <v>2452</v>
      </c>
      <c r="K67" s="6" t="s">
        <v>2453</v>
      </c>
      <c r="L67" s="54" t="s">
        <v>587</v>
      </c>
      <c r="M67" s="108" t="s">
        <v>587</v>
      </c>
      <c r="N67" s="108" t="s">
        <v>587</v>
      </c>
      <c r="O67" s="69" t="str">
        <f aca="false">IF(AND(ISNUMBER(D67),ISNUMBER(M67),ISNUMBER(N67)),D67/((M67+N67)/2),"—")</f>
        <v>—</v>
      </c>
      <c r="P67" s="53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54" t="s">
        <v>2644</v>
      </c>
      <c r="R67" s="54" t="s">
        <v>2649</v>
      </c>
      <c r="S67" s="6" t="s">
        <v>587</v>
      </c>
    </row>
    <row r="68" customFormat="false" ht="44" hidden="false" customHeight="false" outlineLevel="0" collapsed="false">
      <c r="A68" s="54" t="s">
        <v>2650</v>
      </c>
      <c r="B68" s="5" t="s">
        <v>2651</v>
      </c>
      <c r="C68" s="6" t="s">
        <v>2652</v>
      </c>
      <c r="D68" s="118" t="n">
        <f aca="false">IF(ISNUMBER(L1_Ans3),SRC_DEM_006/L1_Ans3,"—")</f>
        <v>10.3687864769116</v>
      </c>
      <c r="E68" s="108" t="n">
        <f aca="false">IF(ISNUMBER(L1_Ans3_Hi),SRC_DEM_006/L1_Ans3_Hi,"—")</f>
        <v>1.48125521098737</v>
      </c>
      <c r="F68" s="108" t="n">
        <f aca="false">IF(ISNUMBER(L1_Ans3_Lo),SRC_DEM_006/L1_Ans3_Lo,"—")</f>
        <v>20.7375729538232</v>
      </c>
      <c r="G68" s="54" t="s">
        <v>83</v>
      </c>
      <c r="H68" s="5" t="s">
        <v>2653</v>
      </c>
      <c r="I68" s="5" t="s">
        <v>2654</v>
      </c>
      <c r="J68" s="6" t="s">
        <v>2478</v>
      </c>
      <c r="K68" s="5" t="s">
        <v>2479</v>
      </c>
      <c r="L68" s="54" t="s">
        <v>2655</v>
      </c>
      <c r="M68" s="108" t="s">
        <v>587</v>
      </c>
      <c r="N68" s="108" t="s">
        <v>587</v>
      </c>
      <c r="O68" s="69" t="str">
        <f aca="false">IF(AND(ISNUMBER(D68),ISNUMBER(M68),ISNUMBER(N68)),D68/((M68+N68)/2),"—")</f>
        <v>—</v>
      </c>
      <c r="P68" s="53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54" t="s">
        <v>2650</v>
      </c>
      <c r="R68" s="54" t="s">
        <v>2656</v>
      </c>
      <c r="S68" s="5" t="s">
        <v>2657</v>
      </c>
    </row>
    <row r="69" customFormat="false" ht="44" hidden="false" customHeight="false" outlineLevel="0" collapsed="false">
      <c r="A69" s="54" t="s">
        <v>2658</v>
      </c>
      <c r="B69" s="5" t="s">
        <v>2659</v>
      </c>
      <c r="C69" s="6" t="s">
        <v>2652</v>
      </c>
      <c r="D69" s="118" t="n">
        <f aca="false">IF(AND(ISNUMBER(AL_ServeGW),ISNUMBER(AL_ServeGWSpend)),AL_ServeGWSpend/AL_ServeGW,"SLO 不可達")</f>
        <v>16.5020218305829</v>
      </c>
      <c r="E69" s="87" t="n">
        <f aca="false">IF(AND(ISNUMBER(Alloc!$Q$79),ISNUMBER(AL_ServeGWSpend)),AL_ServeGWSpend/Alloc!$Q$79,"SLO 不可達")</f>
        <v>12.9146195852331</v>
      </c>
      <c r="F69" s="87" t="n">
        <f aca="false">IF(AND(ISNUMBER(Alloc!$Q$78),ISNUMBER(AL_ServeGWSpend)),AL_ServeGWSpend/Alloc!$Q$78,"SLO 不可達")</f>
        <v>21.472524605552</v>
      </c>
      <c r="G69" s="54" t="s">
        <v>83</v>
      </c>
      <c r="H69" s="5" t="s">
        <v>2660</v>
      </c>
      <c r="I69" s="5" t="s">
        <v>2661</v>
      </c>
      <c r="J69" s="5" t="s">
        <v>2662</v>
      </c>
      <c r="K69" s="5" t="s">
        <v>2663</v>
      </c>
      <c r="L69" s="54" t="s">
        <v>2664</v>
      </c>
      <c r="M69" s="108" t="s">
        <v>587</v>
      </c>
      <c r="N69" s="108" t="s">
        <v>587</v>
      </c>
      <c r="O69" s="69" t="str">
        <f aca="false">IF(AND(ISNUMBER(D69),ISNUMBER(M69),ISNUMBER(N69)),D69/((M69+N69)/2),"—")</f>
        <v>—</v>
      </c>
      <c r="P69" s="53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54" t="s">
        <v>2658</v>
      </c>
      <c r="R69" s="54" t="s">
        <v>2665</v>
      </c>
      <c r="S69" s="5" t="s">
        <v>2657</v>
      </c>
    </row>
    <row r="70" customFormat="false" ht="44" hidden="false" customHeight="false" outlineLevel="0" collapsed="false">
      <c r="A70" s="54" t="s">
        <v>2666</v>
      </c>
      <c r="B70" s="5" t="s">
        <v>2667</v>
      </c>
      <c r="C70" s="6" t="s">
        <v>2668</v>
      </c>
      <c r="D70" s="118" t="n">
        <f aca="false">AL_TokPerPrompt/CST_TokPerPromptV528</f>
        <v>2</v>
      </c>
      <c r="E70" s="108" t="n">
        <f aca="false">AL_TokPerPrompt_Lo/CST_TokPerPromptV528</f>
        <v>1</v>
      </c>
      <c r="F70" s="108" t="n">
        <f aca="false">AL_TokPerPrompt_Hi/CST_TokPerPromptV528</f>
        <v>3.2</v>
      </c>
      <c r="G70" s="54" t="s">
        <v>83</v>
      </c>
      <c r="H70" s="5" t="s">
        <v>2669</v>
      </c>
      <c r="I70" s="5" t="s">
        <v>2670</v>
      </c>
      <c r="J70" s="5" t="s">
        <v>1726</v>
      </c>
      <c r="K70" s="5" t="s">
        <v>2671</v>
      </c>
      <c r="L70" s="54" t="s">
        <v>2672</v>
      </c>
      <c r="M70" s="87" t="n">
        <f aca="false">(SRC_DEM_014+SRC_DEM_015)/CST_TokPerPromptV528</f>
        <v>3.2</v>
      </c>
      <c r="N70" s="87" t="n">
        <f aca="false">(SRC_DEM_014+SRC_DEM_015)/CST_TokPerPromptV528</f>
        <v>3.2</v>
      </c>
      <c r="O70" s="69" t="n">
        <f aca="false">IF(AND(ISNUMBER(D70),ISNUMBER(M70),ISNUMBER(N70)),D70/((M70+N70)/2),"—")</f>
        <v>0.625</v>
      </c>
      <c r="P70" s="53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54" t="s">
        <v>2666</v>
      </c>
      <c r="R70" s="54" t="s">
        <v>2673</v>
      </c>
      <c r="S70" s="6" t="s">
        <v>587</v>
      </c>
    </row>
    <row r="71" customFormat="false" ht="44" hidden="false" customHeight="false" outlineLevel="0" collapsed="false">
      <c r="A71" s="54" t="s">
        <v>2674</v>
      </c>
      <c r="B71" s="5" t="s">
        <v>2675</v>
      </c>
      <c r="C71" s="6" t="s">
        <v>2676</v>
      </c>
      <c r="D71" s="118" t="n">
        <f aca="false">AL_SpendBasis</f>
        <v>2</v>
      </c>
      <c r="E71" s="108" t="n">
        <f aca="false">AL_SpendBasis_Lo</f>
        <v>1.5</v>
      </c>
      <c r="F71" s="108" t="n">
        <f aca="false">AL_SpendBasis_Hi</f>
        <v>3</v>
      </c>
      <c r="G71" s="54" t="s">
        <v>83</v>
      </c>
      <c r="H71" s="6" t="s">
        <v>2677</v>
      </c>
      <c r="I71" s="5" t="s">
        <v>2678</v>
      </c>
      <c r="J71" s="5" t="s">
        <v>2679</v>
      </c>
      <c r="K71" s="5" t="s">
        <v>2680</v>
      </c>
      <c r="L71" s="54" t="s">
        <v>587</v>
      </c>
      <c r="M71" s="108" t="s">
        <v>587</v>
      </c>
      <c r="N71" s="108" t="s">
        <v>587</v>
      </c>
      <c r="O71" s="69" t="str">
        <f aca="false">IF(AND(ISNUMBER(D71),ISNUMBER(M71),ISNUMBER(N71)),D71/((M71+N71)/2),"—")</f>
        <v>—</v>
      </c>
      <c r="P71" s="53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54" t="s">
        <v>2674</v>
      </c>
      <c r="R71" s="54" t="s">
        <v>2681</v>
      </c>
      <c r="S71" s="5" t="s">
        <v>2682</v>
      </c>
    </row>
    <row r="72" customFormat="false" ht="44" hidden="false" customHeight="false" outlineLevel="0" collapsed="false">
      <c r="A72" s="54" t="s">
        <v>2683</v>
      </c>
      <c r="B72" s="5" t="s">
        <v>2684</v>
      </c>
      <c r="C72" s="6" t="s">
        <v>2685</v>
      </c>
      <c r="D72" s="109" t="n">
        <f aca="false">IF(ISNUMBER(INDEX(IF_TokGW_Sol,1,11)),INDEX(IF_TokGW_Sol,1,11)/Sens_Perf!$W$98,"SLO 不可達")</f>
        <v>2.30652659115816</v>
      </c>
      <c r="E72" s="87" t="n">
        <f aca="false">IF(ISNUMBER(INDEX(IF_TokGW_Sol,1,11)),INDEX(IF_TokGW_Sol,1,11)/Sens_Perf!$Y$98,"SLO 不可達")</f>
        <v>0.518188098352661</v>
      </c>
      <c r="F72" s="87" t="n">
        <f aca="false">IF(ISNUMBER(INDEX(IF_TokGW_Sol,1,11)),INDEX(IF_TokGW_Sol,1,11)/Sens_Perf!$W$98,"SLO 不可達")</f>
        <v>2.30652659115816</v>
      </c>
      <c r="G72" s="54" t="s">
        <v>83</v>
      </c>
      <c r="H72" s="5" t="s">
        <v>2686</v>
      </c>
      <c r="I72" s="5" t="s">
        <v>2687</v>
      </c>
      <c r="J72" s="5" t="s">
        <v>2688</v>
      </c>
      <c r="K72" s="5" t="s">
        <v>2689</v>
      </c>
      <c r="L72" s="54" t="s">
        <v>587</v>
      </c>
      <c r="M72" s="108" t="s">
        <v>587</v>
      </c>
      <c r="N72" s="108" t="s">
        <v>587</v>
      </c>
      <c r="O72" s="69" t="str">
        <f aca="false">IF(AND(ISNUMBER(D72),ISNUMBER(M72),ISNUMBER(N72)),D72/((M72+N72)/2),"—")</f>
        <v>—</v>
      </c>
      <c r="P72" s="53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54" t="s">
        <v>2683</v>
      </c>
      <c r="R72" s="54" t="s">
        <v>2690</v>
      </c>
      <c r="S72" s="6" t="s">
        <v>587</v>
      </c>
    </row>
    <row r="73" customFormat="false" ht="29.85" hidden="false" customHeight="false" outlineLevel="0" collapsed="false">
      <c r="A73" s="54" t="s">
        <v>2691</v>
      </c>
      <c r="B73" s="5" t="s">
        <v>2692</v>
      </c>
      <c r="C73" s="6" t="s">
        <v>2676</v>
      </c>
      <c r="D73" s="118" t="n">
        <f aca="false">IF_Util*CTL_ProdDerate/AL_UtilActual</f>
        <v>1.45714285714286</v>
      </c>
      <c r="E73" s="108" t="n">
        <f aca="false">IF_Util*CTL_ProdDerate/AL_UtilActual_Hi</f>
        <v>1.275</v>
      </c>
      <c r="F73" s="108" t="n">
        <f aca="false">IF_Util*CTL_ProdDerate/AL_UtilActual_Lo</f>
        <v>1.7</v>
      </c>
      <c r="G73" s="54" t="s">
        <v>83</v>
      </c>
      <c r="H73" s="5" t="s">
        <v>2693</v>
      </c>
      <c r="I73" s="5" t="s">
        <v>2694</v>
      </c>
      <c r="J73" s="5" t="s">
        <v>2695</v>
      </c>
      <c r="K73" s="6" t="s">
        <v>2696</v>
      </c>
      <c r="L73" s="54" t="s">
        <v>2697</v>
      </c>
      <c r="M73" s="108" t="s">
        <v>587</v>
      </c>
      <c r="N73" s="108" t="s">
        <v>587</v>
      </c>
      <c r="O73" s="69" t="str">
        <f aca="false">IF(AND(ISNUMBER(D73),ISNUMBER(M73),ISNUMBER(N73)),D73/((M73+N73)/2),"—")</f>
        <v>—</v>
      </c>
      <c r="P73" s="53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54" t="s">
        <v>2691</v>
      </c>
      <c r="R73" s="54" t="s">
        <v>2698</v>
      </c>
      <c r="S73" s="6" t="s">
        <v>587</v>
      </c>
    </row>
    <row r="74" customFormat="false" ht="29.85" hidden="false" customHeight="false" outlineLevel="0" collapsed="false">
      <c r="A74" s="54" t="s">
        <v>2699</v>
      </c>
      <c r="B74" s="5" t="s">
        <v>2700</v>
      </c>
      <c r="C74" s="6" t="s">
        <v>2701</v>
      </c>
      <c r="D74" s="118" t="n">
        <f aca="false">IF(AND(ISNUMBER(L1_GapISL),ISNUMBER(L1_GapPrompt)),L1_GapPrompt*L1_GapSpendBasis*L1_GapISL*L1_GapUtil,"SLO 不可達")</f>
        <v>13.4437549884647</v>
      </c>
      <c r="E74" s="108" t="n">
        <f aca="false">IF(AND(ISNUMBER(L1_GapISL_Lo),ISNUMBER(L1_GapPrompt_Lo)),L1_GapPrompt_Lo*L1_GapSpendBasis_Lo*L1_GapISL_Lo*L1_GapUtil_Lo,"SLO 不可達")</f>
        <v>0.991034738099464</v>
      </c>
      <c r="F74" s="108" t="n">
        <f aca="false">IF(AND(ISNUMBER(L1_GapISL_Hi),ISNUMBER(L1_GapPrompt_Hi)),L1_GapPrompt_Hi*L1_GapSpendBasis_Hi*L1_GapISL_Hi*L1_GapUtil_Hi,"SLO 不可達")</f>
        <v>37.6425139677012</v>
      </c>
      <c r="G74" s="54" t="s">
        <v>83</v>
      </c>
      <c r="H74" s="5" t="s">
        <v>2702</v>
      </c>
      <c r="I74" s="5" t="s">
        <v>2703</v>
      </c>
      <c r="J74" s="5" t="s">
        <v>2704</v>
      </c>
      <c r="K74" s="5" t="s">
        <v>2705</v>
      </c>
      <c r="L74" s="54" t="s">
        <v>2706</v>
      </c>
      <c r="M74" s="87" t="n">
        <f aca="false">L1_ScaleServe</f>
        <v>16.5020218305829</v>
      </c>
      <c r="N74" s="87" t="n">
        <f aca="false">L1_ScaleServe</f>
        <v>16.5020218305829</v>
      </c>
      <c r="O74" s="69" t="n">
        <f aca="false">IF(AND(ISNUMBER(D74),ISNUMBER(M74),ISNUMBER(N74)),D74/((M74+N74)/2),"—")</f>
        <v>0.81467320347072</v>
      </c>
      <c r="P74" s="53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±20% 內</v>
      </c>
      <c r="Q74" s="54" t="s">
        <v>2699</v>
      </c>
      <c r="R74" s="54" t="s">
        <v>2649</v>
      </c>
      <c r="S74" s="6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0" t="s">
        <v>2707</v>
      </c>
    </row>
    <row r="2" customFormat="false" ht="15" hidden="false" customHeight="false" outlineLevel="0" collapsed="false">
      <c r="A2" s="51" t="s">
        <v>2708</v>
      </c>
    </row>
    <row r="3" customFormat="false" ht="15" hidden="false" customHeight="false" outlineLevel="0" collapsed="false">
      <c r="A3" s="66" t="s">
        <v>2709</v>
      </c>
      <c r="C3" s="54" t="s">
        <v>2710</v>
      </c>
    </row>
    <row r="4" customFormat="false" ht="44" hidden="false" customHeight="false" outlineLevel="0" collapsed="false">
      <c r="A4" s="77" t="s">
        <v>2711</v>
      </c>
      <c r="B4" s="76" t="s">
        <v>12</v>
      </c>
      <c r="C4" s="76" t="s">
        <v>2712</v>
      </c>
      <c r="D4" s="76" t="s">
        <v>2713</v>
      </c>
      <c r="E4" s="76" t="s">
        <v>2714</v>
      </c>
      <c r="F4" s="76" t="s">
        <v>1115</v>
      </c>
      <c r="G4" s="76" t="s">
        <v>1116</v>
      </c>
      <c r="H4" s="77" t="s">
        <v>2715</v>
      </c>
      <c r="I4" s="77" t="s">
        <v>2716</v>
      </c>
      <c r="J4" s="76" t="s">
        <v>2717</v>
      </c>
      <c r="K4" s="76" t="s">
        <v>2718</v>
      </c>
      <c r="L4" s="76" t="s">
        <v>2719</v>
      </c>
      <c r="M4" s="76" t="s">
        <v>2720</v>
      </c>
      <c r="N4" s="76" t="s">
        <v>2721</v>
      </c>
    </row>
    <row r="5" customFormat="false" ht="252.95" hidden="false" customHeight="false" outlineLevel="0" collapsed="false">
      <c r="A5" s="85" t="str">
        <f aca="false">Gov_Map!$A$98</f>
        <v>GM094</v>
      </c>
      <c r="B5" s="85" t="str">
        <f aca="false">Gov_Map!$C$98</f>
        <v>Spec_Rack</v>
      </c>
      <c r="C5" s="85" t="str">
        <f aca="false">Gov_Map!$D$98</f>
        <v>G12</v>
      </c>
      <c r="D5" s="202" t="str">
        <f aca="false">Gov_Map!$E$98</f>
        <v>機架價格 基準（$M）</v>
      </c>
      <c r="E5" s="85" t="str">
        <f aca="false">Gov_Map!$F$98</f>
        <v>Assumed</v>
      </c>
      <c r="F5" s="91" t="n">
        <f aca="false">Gov_Map!$K$98</f>
        <v>12.6</v>
      </c>
      <c r="G5" s="91" t="n">
        <f aca="false">Gov_Map!$L$98</f>
        <v>21</v>
      </c>
      <c r="H5" s="85" t="str">
        <f aca="false">Gov_Map!$P$98</f>
        <v>高</v>
      </c>
      <c r="I5" s="85" t="str">
        <f aca="false">Gov_Map!$T$98</f>
        <v>—</v>
      </c>
      <c r="J5" s="80" t="s">
        <v>2722</v>
      </c>
      <c r="K5" s="53"/>
      <c r="L5" s="85" t="str">
        <f aca="false">IF(ISNUMBER(Gov_Map!$AF$98),INDEX(IDX_SrcDate,Gov_Map!$AF$98),"—")</f>
        <v>—</v>
      </c>
      <c r="M5" s="86" t="s">
        <v>2723</v>
      </c>
      <c r="N5" s="104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42.5" hidden="false" customHeight="false" outlineLevel="0" collapsed="false">
      <c r="A6" s="85" t="str">
        <f aca="false">Gov_Map!$A$207</f>
        <v>GM203</v>
      </c>
      <c r="B6" s="85" t="str">
        <f aca="false">Gov_Map!$C$207</f>
        <v>Arch</v>
      </c>
      <c r="C6" s="85" t="str">
        <f aca="false">Gov_Map!$D$207</f>
        <v>E6</v>
      </c>
      <c r="D6" s="202" t="str">
        <f aca="false">Gov_Map!$E$207</f>
        <v>總參數</v>
      </c>
      <c r="E6" s="85" t="str">
        <f aca="false">Gov_Map!$F$207</f>
        <v>Assumed</v>
      </c>
      <c r="F6" s="85" t="n">
        <f aca="false">Gov_Map!$K$207</f>
        <v>2000</v>
      </c>
      <c r="G6" s="85" t="n">
        <f aca="false">Gov_Map!$L$207</f>
        <v>10000</v>
      </c>
      <c r="H6" s="85" t="str">
        <f aca="false">Gov_Map!$P$207</f>
        <v>高</v>
      </c>
      <c r="I6" s="85" t="str">
        <f aca="false">Gov_Map!$T$207</f>
        <v>—</v>
      </c>
      <c r="J6" s="80" t="s">
        <v>2724</v>
      </c>
      <c r="K6" s="53"/>
      <c r="L6" s="85" t="str">
        <f aca="false">IF(ISNUMBER(Gov_Map!$AF$207),INDEX(IDX_SrcDate,Gov_Map!$AF$207),"—")</f>
        <v>—</v>
      </c>
      <c r="M6" s="86" t="s">
        <v>2725</v>
      </c>
      <c r="N6" s="104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55.2" hidden="false" customHeight="false" outlineLevel="0" collapsed="false">
      <c r="A7" s="85" t="str">
        <f aca="false">Gov_Map!$A$208</f>
        <v>GM204</v>
      </c>
      <c r="B7" s="85" t="str">
        <f aca="false">Gov_Map!$C$208</f>
        <v>Arch</v>
      </c>
      <c r="C7" s="85" t="str">
        <f aca="false">Gov_Map!$D$208</f>
        <v>E7</v>
      </c>
      <c r="D7" s="202" t="str">
        <f aca="false">Gov_Map!$E$208</f>
        <v>啟用參數</v>
      </c>
      <c r="E7" s="85" t="str">
        <f aca="false">Gov_Map!$F$208</f>
        <v>Assumed</v>
      </c>
      <c r="F7" s="85" t="n">
        <f aca="false">Gov_Map!$K$208</f>
        <v>60</v>
      </c>
      <c r="G7" s="85" t="n">
        <f aca="false">Gov_Map!$L$208</f>
        <v>250</v>
      </c>
      <c r="H7" s="85" t="str">
        <f aca="false">Gov_Map!$P$208</f>
        <v>高</v>
      </c>
      <c r="I7" s="85" t="str">
        <f aca="false">Gov_Map!$T$208</f>
        <v>—</v>
      </c>
      <c r="J7" s="80" t="s">
        <v>2726</v>
      </c>
      <c r="K7" s="53"/>
      <c r="L7" s="85" t="str">
        <f aca="false">IF(ISNUMBER(Gov_Map!$AF$208),INDEX(IDX_SrcDate,Gov_Map!$AF$208),"—")</f>
        <v>—</v>
      </c>
      <c r="M7" s="86" t="s">
        <v>2727</v>
      </c>
      <c r="N7" s="104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55.2" hidden="false" customHeight="false" outlineLevel="0" collapsed="false">
      <c r="A8" s="85" t="str">
        <f aca="false">Gov_Map!$A$209</f>
        <v>GM205</v>
      </c>
      <c r="B8" s="85" t="str">
        <f aca="false">Gov_Map!$C$209</f>
        <v>Arch</v>
      </c>
      <c r="C8" s="85" t="str">
        <f aca="false">Gov_Map!$D$209</f>
        <v>E8</v>
      </c>
      <c r="D8" s="202" t="str">
        <f aca="false">Gov_Map!$E$209</f>
        <v>層數</v>
      </c>
      <c r="E8" s="85" t="str">
        <f aca="false">Gov_Map!$F$209</f>
        <v>Assumed</v>
      </c>
      <c r="F8" s="85" t="n">
        <f aca="false">Gov_Map!$K$209</f>
        <v>80</v>
      </c>
      <c r="G8" s="85" t="n">
        <f aca="false">Gov_Map!$L$209</f>
        <v>160</v>
      </c>
      <c r="H8" s="85" t="str">
        <f aca="false">Gov_Map!$P$209</f>
        <v>高</v>
      </c>
      <c r="I8" s="85" t="str">
        <f aca="false">Gov_Map!$T$209</f>
        <v>—</v>
      </c>
      <c r="J8" s="80" t="s">
        <v>2726</v>
      </c>
      <c r="K8" s="53"/>
      <c r="L8" s="85" t="str">
        <f aca="false">IF(ISNUMBER(Gov_Map!$AF$209),INDEX(IDX_SrcDate,Gov_Map!$AF$209),"—")</f>
        <v>—</v>
      </c>
      <c r="M8" s="86" t="s">
        <v>2728</v>
      </c>
      <c r="N8" s="104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41" hidden="false" customHeight="false" outlineLevel="0" collapsed="false">
      <c r="A9" s="85" t="str">
        <f aca="false">Gov_Map!$A$240</f>
        <v>GM236</v>
      </c>
      <c r="B9" s="85" t="str">
        <f aca="false">Gov_Map!$C$240</f>
        <v>Serving</v>
      </c>
      <c r="C9" s="85" t="str">
        <f aca="false">Gov_Map!$D$240</f>
        <v>C17</v>
      </c>
      <c r="D9" s="202" t="str">
        <f aca="false">Gov_Map!$E$240</f>
        <v>基準利用率（第 0 層）</v>
      </c>
      <c r="E9" s="85" t="str">
        <f aca="false">Gov_Map!$F$240</f>
        <v>Assumed</v>
      </c>
      <c r="F9" s="85" t="n">
        <f aca="false">Gov_Map!$K$240</f>
        <v>0.4</v>
      </c>
      <c r="G9" s="85" t="n">
        <f aca="false">Gov_Map!$L$240</f>
        <v>0.8</v>
      </c>
      <c r="H9" s="85" t="str">
        <f aca="false">Gov_Map!$P$240</f>
        <v>高</v>
      </c>
      <c r="I9" s="85" t="str">
        <f aca="false">Gov_Map!$T$240</f>
        <v>—</v>
      </c>
      <c r="J9" s="80" t="s">
        <v>2729</v>
      </c>
      <c r="K9" s="53"/>
      <c r="L9" s="85" t="str">
        <f aca="false">IF(ISNUMBER(Gov_Map!$AF$240),INDEX(IDX_SrcDate,Gov_Map!$AF$240),"—")</f>
        <v>—</v>
      </c>
      <c r="M9" s="86" t="s">
        <v>2730</v>
      </c>
      <c r="N9" s="104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42.5" hidden="false" customHeight="false" outlineLevel="0" collapsed="false">
      <c r="A10" s="85" t="str">
        <f aca="false">Gov_Map!$A$241</f>
        <v>GM237</v>
      </c>
      <c r="B10" s="85" t="str">
        <f aca="false">Gov_Map!$C$241</f>
        <v>Serving</v>
      </c>
      <c r="C10" s="85" t="str">
        <f aca="false">Gov_Map!$D$241</f>
        <v>C18</v>
      </c>
      <c r="D10" s="202" t="str">
        <f aca="false">Gov_Map!$E$241</f>
        <v>實測→生產效率折減</v>
      </c>
      <c r="E10" s="85" t="str">
        <f aca="false">Gov_Map!$F$241</f>
        <v>Assumed</v>
      </c>
      <c r="F10" s="85" t="n">
        <f aca="false">Gov_Map!$K$241</f>
        <v>0.7</v>
      </c>
      <c r="G10" s="85" t="n">
        <f aca="false">Gov_Map!$L$241</f>
        <v>1</v>
      </c>
      <c r="H10" s="85" t="str">
        <f aca="false">Gov_Map!$P$241</f>
        <v>高</v>
      </c>
      <c r="I10" s="85" t="str">
        <f aca="false">Gov_Map!$T$241</f>
        <v>—</v>
      </c>
      <c r="J10" s="80" t="s">
        <v>2724</v>
      </c>
      <c r="K10" s="53"/>
      <c r="L10" s="85" t="str">
        <f aca="false">IF(ISNUMBER(Gov_Map!$AF$241),INDEX(IDX_SrcDate,Gov_Map!$AF$241),"—")</f>
        <v>—</v>
      </c>
      <c r="M10" s="86" t="s">
        <v>2731</v>
      </c>
      <c r="N10" s="104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17.15" hidden="false" customHeight="false" outlineLevel="0" collapsed="false">
      <c r="A11" s="85" t="str">
        <f aca="false">Gov_Map!$A$249</f>
        <v>GM245</v>
      </c>
      <c r="B11" s="85" t="str">
        <f aca="false">Gov_Map!$C$249</f>
        <v>Serving</v>
      </c>
      <c r="C11" s="85" t="str">
        <f aca="false">Gov_Map!$D$249</f>
        <v>C23</v>
      </c>
      <c r="D11" s="202" t="str">
        <f aca="false">Gov_Map!$E$249</f>
        <v>參考 ISL（每次請求輸入）</v>
      </c>
      <c r="E11" s="85" t="str">
        <f aca="false">Gov_Map!$F$249</f>
        <v>Assumed</v>
      </c>
      <c r="F11" s="85" t="n">
        <f aca="false">Gov_Map!$K$249</f>
        <v>4096</v>
      </c>
      <c r="G11" s="85" t="n">
        <f aca="false">Gov_Map!$L$249</f>
        <v>16384</v>
      </c>
      <c r="H11" s="85" t="str">
        <f aca="false">Gov_Map!$P$249</f>
        <v>高</v>
      </c>
      <c r="I11" s="85" t="str">
        <f aca="false">Gov_Map!$T$249</f>
        <v>—</v>
      </c>
      <c r="J11" s="80" t="s">
        <v>2732</v>
      </c>
      <c r="K11" s="53"/>
      <c r="L11" s="85" t="str">
        <f aca="false">IF(ISNUMBER(Gov_Map!$AF$249),INDEX(IDX_SrcDate,Gov_Map!$AF$249),"—")</f>
        <v>—</v>
      </c>
      <c r="M11" s="86" t="s">
        <v>2733</v>
      </c>
      <c r="N11" s="104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17.15" hidden="false" customHeight="false" outlineLevel="0" collapsed="false">
      <c r="A12" s="85" t="str">
        <f aca="false">Gov_Map!$A$250</f>
        <v>GM246</v>
      </c>
      <c r="B12" s="85" t="str">
        <f aca="false">Gov_Map!$C$250</f>
        <v>Serving</v>
      </c>
      <c r="C12" s="85" t="str">
        <f aca="false">Gov_Map!$D$250</f>
        <v>D23</v>
      </c>
      <c r="D12" s="202" t="str">
        <f aca="false">Gov_Map!$E$250</f>
        <v>參考 ISL（每次請求輸入）</v>
      </c>
      <c r="E12" s="85" t="str">
        <f aca="false">Gov_Map!$F$250</f>
        <v>Assumed</v>
      </c>
      <c r="F12" s="85" t="n">
        <f aca="false">Gov_Map!$K$250</f>
        <v>8192</v>
      </c>
      <c r="G12" s="85" t="n">
        <f aca="false">Gov_Map!$L$250</f>
        <v>68000</v>
      </c>
      <c r="H12" s="85" t="str">
        <f aca="false">Gov_Map!$P$250</f>
        <v>高</v>
      </c>
      <c r="I12" s="85" t="str">
        <f aca="false">Gov_Map!$T$250</f>
        <v>—</v>
      </c>
      <c r="J12" s="80" t="s">
        <v>2732</v>
      </c>
      <c r="K12" s="53"/>
      <c r="L12" s="85" t="str">
        <f aca="false">IF(ISNUMBER(Gov_Map!$AF$250),INDEX(IDX_SrcDate,Gov_Map!$AF$250),"—")</f>
        <v>—</v>
      </c>
      <c r="M12" s="86" t="s">
        <v>2734</v>
      </c>
      <c r="N12" s="104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17.15" hidden="false" customHeight="false" outlineLevel="0" collapsed="false">
      <c r="A13" s="85" t="str">
        <f aca="false">Gov_Map!$A$251</f>
        <v>GM247</v>
      </c>
      <c r="B13" s="85" t="str">
        <f aca="false">Gov_Map!$C$251</f>
        <v>Serving</v>
      </c>
      <c r="C13" s="85" t="str">
        <f aca="false">Gov_Map!$D$251</f>
        <v>E23</v>
      </c>
      <c r="D13" s="202" t="str">
        <f aca="false">Gov_Map!$E$251</f>
        <v>參考 ISL（每次請求輸入）</v>
      </c>
      <c r="E13" s="85" t="str">
        <f aca="false">Gov_Map!$F$251</f>
        <v>Assumed</v>
      </c>
      <c r="F13" s="85" t="n">
        <f aca="false">Gov_Map!$K$251</f>
        <v>16384</v>
      </c>
      <c r="G13" s="85" t="n">
        <f aca="false">Gov_Map!$L$251</f>
        <v>68000</v>
      </c>
      <c r="H13" s="85" t="str">
        <f aca="false">Gov_Map!$P$251</f>
        <v>高</v>
      </c>
      <c r="I13" s="85" t="str">
        <f aca="false">Gov_Map!$T$251</f>
        <v>—</v>
      </c>
      <c r="J13" s="80" t="s">
        <v>2732</v>
      </c>
      <c r="K13" s="53"/>
      <c r="L13" s="85" t="str">
        <f aca="false">IF(ISNUMBER(Gov_Map!$AF$251),INDEX(IDX_SrcDate,Gov_Map!$AF$251),"—")</f>
        <v>—</v>
      </c>
      <c r="M13" s="86" t="s">
        <v>2735</v>
      </c>
      <c r="N13" s="104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17.15" hidden="false" customHeight="false" outlineLevel="0" collapsed="false">
      <c r="A14" s="85" t="str">
        <f aca="false">Gov_Map!$A$252</f>
        <v>GM248</v>
      </c>
      <c r="B14" s="85" t="str">
        <f aca="false">Gov_Map!$C$252</f>
        <v>Serving</v>
      </c>
      <c r="C14" s="85" t="str">
        <f aca="false">Gov_Map!$D$252</f>
        <v>C24</v>
      </c>
      <c r="D14" s="202" t="str">
        <f aca="false">Gov_Map!$E$252</f>
        <v>參考 OSL（含思考）</v>
      </c>
      <c r="E14" s="85" t="str">
        <f aca="false">Gov_Map!$F$252</f>
        <v>Assumed</v>
      </c>
      <c r="F14" s="85" t="n">
        <f aca="false">Gov_Map!$K$252</f>
        <v>400</v>
      </c>
      <c r="G14" s="85" t="n">
        <f aca="false">Gov_Map!$L$252</f>
        <v>2048</v>
      </c>
      <c r="H14" s="85" t="str">
        <f aca="false">Gov_Map!$P$252</f>
        <v>高</v>
      </c>
      <c r="I14" s="85" t="str">
        <f aca="false">Gov_Map!$T$252</f>
        <v>—</v>
      </c>
      <c r="J14" s="80" t="s">
        <v>2732</v>
      </c>
      <c r="K14" s="53"/>
      <c r="L14" s="85" t="str">
        <f aca="false">IF(ISNUMBER(Gov_Map!$AF$252),INDEX(IDX_SrcDate,Gov_Map!$AF$252),"—")</f>
        <v>—</v>
      </c>
      <c r="M14" s="86" t="s">
        <v>2736</v>
      </c>
      <c r="N14" s="104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17.15" hidden="false" customHeight="false" outlineLevel="0" collapsed="false">
      <c r="A15" s="85" t="str">
        <f aca="false">Gov_Map!$A$253</f>
        <v>GM249</v>
      </c>
      <c r="B15" s="85" t="str">
        <f aca="false">Gov_Map!$C$253</f>
        <v>Serving</v>
      </c>
      <c r="C15" s="85" t="str">
        <f aca="false">Gov_Map!$D$253</f>
        <v>D24</v>
      </c>
      <c r="D15" s="202" t="str">
        <f aca="false">Gov_Map!$E$253</f>
        <v>參考 OSL（含思考）</v>
      </c>
      <c r="E15" s="85" t="str">
        <f aca="false">Gov_Map!$F$253</f>
        <v>Assumed</v>
      </c>
      <c r="F15" s="85" t="n">
        <f aca="false">Gov_Map!$K$253</f>
        <v>1024</v>
      </c>
      <c r="G15" s="85" t="n">
        <f aca="false">Gov_Map!$L$253</f>
        <v>4096</v>
      </c>
      <c r="H15" s="85" t="str">
        <f aca="false">Gov_Map!$P$253</f>
        <v>高</v>
      </c>
      <c r="I15" s="85" t="str">
        <f aca="false">Gov_Map!$T$253</f>
        <v>—</v>
      </c>
      <c r="J15" s="80" t="s">
        <v>2732</v>
      </c>
      <c r="K15" s="53"/>
      <c r="L15" s="85" t="str">
        <f aca="false">IF(ISNUMBER(Gov_Map!$AF$253),INDEX(IDX_SrcDate,Gov_Map!$AF$253),"—")</f>
        <v>—</v>
      </c>
      <c r="M15" s="86" t="s">
        <v>2737</v>
      </c>
      <c r="N15" s="104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17.15" hidden="false" customHeight="false" outlineLevel="0" collapsed="false">
      <c r="A16" s="85" t="str">
        <f aca="false">Gov_Map!$A$254</f>
        <v>GM250</v>
      </c>
      <c r="B16" s="85" t="str">
        <f aca="false">Gov_Map!$C$254</f>
        <v>Serving</v>
      </c>
      <c r="C16" s="85" t="str">
        <f aca="false">Gov_Map!$D$254</f>
        <v>E24</v>
      </c>
      <c r="D16" s="202" t="str">
        <f aca="false">Gov_Map!$E$254</f>
        <v>參考 OSL（含思考）</v>
      </c>
      <c r="E16" s="85" t="str">
        <f aca="false">Gov_Map!$F$254</f>
        <v>Assumed</v>
      </c>
      <c r="F16" s="85" t="n">
        <f aca="false">Gov_Map!$K$254</f>
        <v>2048</v>
      </c>
      <c r="G16" s="85" t="n">
        <f aca="false">Gov_Map!$L$254</f>
        <v>8192</v>
      </c>
      <c r="H16" s="85" t="str">
        <f aca="false">Gov_Map!$P$254</f>
        <v>高</v>
      </c>
      <c r="I16" s="85" t="str">
        <f aca="false">Gov_Map!$T$254</f>
        <v>—</v>
      </c>
      <c r="J16" s="80" t="s">
        <v>2732</v>
      </c>
      <c r="K16" s="53"/>
      <c r="L16" s="85" t="str">
        <f aca="false">IF(ISNUMBER(Gov_Map!$AF$254),INDEX(IDX_SrcDate,Gov_Map!$AF$254),"—")</f>
        <v>—</v>
      </c>
      <c r="M16" s="86" t="s">
        <v>2738</v>
      </c>
      <c r="N16" s="104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85" t="str">
        <f aca="false">Gov_Map!$A$255</f>
        <v>GM251</v>
      </c>
      <c r="B17" s="85" t="str">
        <f aca="false">Gov_Map!$C$255</f>
        <v>Workload</v>
      </c>
      <c r="C17" s="85" t="str">
        <f aca="false">Gov_Map!$D$255</f>
        <v>C5</v>
      </c>
      <c r="D17" s="202" t="str">
        <f aca="false">Gov_Map!$E$255</f>
        <v>輪數 T</v>
      </c>
      <c r="E17" s="85" t="str">
        <f aca="false">Gov_Map!$F$255</f>
        <v>Assumed</v>
      </c>
      <c r="F17" s="85" t="n">
        <f aca="false">Gov_Map!$K$255</f>
        <v>1</v>
      </c>
      <c r="G17" s="85" t="n">
        <f aca="false">Gov_Map!$L$255</f>
        <v>2</v>
      </c>
      <c r="H17" s="85" t="str">
        <f aca="false">Gov_Map!$P$255</f>
        <v>高</v>
      </c>
      <c r="I17" s="85" t="str">
        <f aca="false">Gov_Map!$T$255</f>
        <v>—</v>
      </c>
      <c r="J17" s="80" t="s">
        <v>2739</v>
      </c>
      <c r="K17" s="53"/>
      <c r="L17" s="85" t="str">
        <f aca="false">IF(ISNUMBER(Gov_Map!$AF$255),INDEX(IDX_SrcDate,Gov_Map!$AF$255),"—")</f>
        <v>—</v>
      </c>
      <c r="M17" s="86" t="s">
        <v>2740</v>
      </c>
      <c r="N17" s="104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85" t="str">
        <f aca="false">Gov_Map!$A$256</f>
        <v>GM252</v>
      </c>
      <c r="B18" s="85" t="str">
        <f aca="false">Gov_Map!$C$256</f>
        <v>Workload</v>
      </c>
      <c r="C18" s="85" t="str">
        <f aca="false">Gov_Map!$D$256</f>
        <v>D5</v>
      </c>
      <c r="D18" s="202" t="str">
        <f aca="false">Gov_Map!$E$256</f>
        <v>輪數 T</v>
      </c>
      <c r="E18" s="85" t="str">
        <f aca="false">Gov_Map!$F$256</f>
        <v>Assumed</v>
      </c>
      <c r="F18" s="85" t="n">
        <f aca="false">Gov_Map!$K$256</f>
        <v>1</v>
      </c>
      <c r="G18" s="85" t="n">
        <f aca="false">Gov_Map!$L$256</f>
        <v>2</v>
      </c>
      <c r="H18" s="85" t="str">
        <f aca="false">Gov_Map!$P$256</f>
        <v>高</v>
      </c>
      <c r="I18" s="85" t="str">
        <f aca="false">Gov_Map!$T$256</f>
        <v>—</v>
      </c>
      <c r="J18" s="80" t="s">
        <v>2739</v>
      </c>
      <c r="K18" s="53"/>
      <c r="L18" s="85" t="str">
        <f aca="false">IF(ISNUMBER(Gov_Map!$AF$256),INDEX(IDX_SrcDate,Gov_Map!$AF$256),"—")</f>
        <v>—</v>
      </c>
      <c r="M18" s="86" t="s">
        <v>2741</v>
      </c>
      <c r="N18" s="104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85" t="str">
        <f aca="false">Gov_Map!$A$257</f>
        <v>GM253</v>
      </c>
      <c r="B19" s="85" t="str">
        <f aca="false">Gov_Map!$C$257</f>
        <v>Workload</v>
      </c>
      <c r="C19" s="85" t="str">
        <f aca="false">Gov_Map!$D$257</f>
        <v>E5</v>
      </c>
      <c r="D19" s="202" t="str">
        <f aca="false">Gov_Map!$E$257</f>
        <v>輪數 T</v>
      </c>
      <c r="E19" s="85" t="str">
        <f aca="false">Gov_Map!$F$257</f>
        <v>Assumed</v>
      </c>
      <c r="F19" s="85" t="n">
        <f aca="false">Gov_Map!$K$257</f>
        <v>2</v>
      </c>
      <c r="G19" s="85" t="n">
        <f aca="false">Gov_Map!$L$257</f>
        <v>8</v>
      </c>
      <c r="H19" s="85" t="str">
        <f aca="false">Gov_Map!$P$257</f>
        <v>高</v>
      </c>
      <c r="I19" s="85" t="str">
        <f aca="false">Gov_Map!$T$257</f>
        <v>—</v>
      </c>
      <c r="J19" s="80" t="s">
        <v>2739</v>
      </c>
      <c r="K19" s="53"/>
      <c r="L19" s="85" t="str">
        <f aca="false">IF(ISNUMBER(Gov_Map!$AF$257),INDEX(IDX_SrcDate,Gov_Map!$AF$257),"—")</f>
        <v>—</v>
      </c>
      <c r="M19" s="86" t="s">
        <v>2742</v>
      </c>
      <c r="N19" s="104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85" t="str">
        <f aca="false">Gov_Map!$A$258</f>
        <v>GM254</v>
      </c>
      <c r="B20" s="85" t="str">
        <f aca="false">Gov_Map!$C$258</f>
        <v>Workload</v>
      </c>
      <c r="C20" s="85" t="str">
        <f aca="false">Gov_Map!$D$258</f>
        <v>F5</v>
      </c>
      <c r="D20" s="202" t="str">
        <f aca="false">Gov_Map!$E$258</f>
        <v>輪數 T</v>
      </c>
      <c r="E20" s="85" t="str">
        <f aca="false">Gov_Map!$F$258</f>
        <v>Assumed</v>
      </c>
      <c r="F20" s="85" t="n">
        <f aca="false">Gov_Map!$K$258</f>
        <v>2</v>
      </c>
      <c r="G20" s="85" t="n">
        <f aca="false">Gov_Map!$L$258</f>
        <v>8</v>
      </c>
      <c r="H20" s="85" t="str">
        <f aca="false">Gov_Map!$P$258</f>
        <v>高</v>
      </c>
      <c r="I20" s="85" t="str">
        <f aca="false">Gov_Map!$T$258</f>
        <v>—</v>
      </c>
      <c r="J20" s="80" t="s">
        <v>2739</v>
      </c>
      <c r="K20" s="53"/>
      <c r="L20" s="85" t="str">
        <f aca="false">IF(ISNUMBER(Gov_Map!$AF$258),INDEX(IDX_SrcDate,Gov_Map!$AF$258),"—")</f>
        <v>—</v>
      </c>
      <c r="M20" s="86" t="s">
        <v>2743</v>
      </c>
      <c r="N20" s="104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85" t="str">
        <f aca="false">Gov_Map!$A$259</f>
        <v>GM255</v>
      </c>
      <c r="B21" s="85" t="str">
        <f aca="false">Gov_Map!$C$259</f>
        <v>Workload</v>
      </c>
      <c r="C21" s="85" t="str">
        <f aca="false">Gov_Map!$D$259</f>
        <v>G5</v>
      </c>
      <c r="D21" s="202" t="str">
        <f aca="false">Gov_Map!$E$259</f>
        <v>輪數 T</v>
      </c>
      <c r="E21" s="85" t="str">
        <f aca="false">Gov_Map!$F$259</f>
        <v>Assumed</v>
      </c>
      <c r="F21" s="85" t="n">
        <f aca="false">Gov_Map!$K$259</f>
        <v>15</v>
      </c>
      <c r="G21" s="85" t="n">
        <f aca="false">Gov_Map!$L$259</f>
        <v>60</v>
      </c>
      <c r="H21" s="85" t="str">
        <f aca="false">Gov_Map!$P$259</f>
        <v>高</v>
      </c>
      <c r="I21" s="85" t="str">
        <f aca="false">Gov_Map!$T$259</f>
        <v>—</v>
      </c>
      <c r="J21" s="80" t="s">
        <v>2739</v>
      </c>
      <c r="K21" s="53"/>
      <c r="L21" s="85" t="str">
        <f aca="false">IF(ISNUMBER(Gov_Map!$AF$259),INDEX(IDX_SrcDate,Gov_Map!$AF$259),"—")</f>
        <v>—</v>
      </c>
      <c r="M21" s="86" t="s">
        <v>2744</v>
      </c>
      <c r="N21" s="104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85" t="str">
        <f aca="false">Gov_Map!$A$274</f>
        <v>GM270</v>
      </c>
      <c r="B22" s="85" t="str">
        <f aca="false">Gov_Map!$C$274</f>
        <v>Workload</v>
      </c>
      <c r="C22" s="85" t="str">
        <f aca="false">Gov_Map!$D$274</f>
        <v>G8</v>
      </c>
      <c r="D22" s="202" t="str">
        <f aca="false">Gov_Map!$E$274</f>
        <v>每輪思考 token h</v>
      </c>
      <c r="E22" s="85" t="str">
        <f aca="false">Gov_Map!$F$274</f>
        <v>Assumed</v>
      </c>
      <c r="F22" s="85" t="n">
        <f aca="false">Gov_Map!$K$274</f>
        <v>300</v>
      </c>
      <c r="G22" s="85" t="n">
        <f aca="false">Gov_Map!$L$274</f>
        <v>1200</v>
      </c>
      <c r="H22" s="85" t="str">
        <f aca="false">Gov_Map!$P$274</f>
        <v>高</v>
      </c>
      <c r="I22" s="85" t="str">
        <f aca="false">Gov_Map!$T$274</f>
        <v>—</v>
      </c>
      <c r="J22" s="80" t="s">
        <v>2739</v>
      </c>
      <c r="K22" s="53"/>
      <c r="L22" s="85" t="str">
        <f aca="false">IF(ISNUMBER(Gov_Map!$AF$274),INDEX(IDX_SrcDate,Gov_Map!$AF$274),"—")</f>
        <v>—</v>
      </c>
      <c r="M22" s="86" t="s">
        <v>2745</v>
      </c>
      <c r="N22" s="104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85" t="str">
        <f aca="false">Gov_Map!$A$279</f>
        <v>GM275</v>
      </c>
      <c r="B23" s="85" t="str">
        <f aca="false">Gov_Map!$C$279</f>
        <v>Workload</v>
      </c>
      <c r="C23" s="85" t="str">
        <f aca="false">Gov_Map!$D$279</f>
        <v>G9</v>
      </c>
      <c r="D23" s="202" t="str">
        <f aca="false">Gov_Map!$E$279</f>
        <v>每輪可見輸出 o</v>
      </c>
      <c r="E23" s="85" t="str">
        <f aca="false">Gov_Map!$F$279</f>
        <v>Assumed</v>
      </c>
      <c r="F23" s="85" t="n">
        <f aca="false">Gov_Map!$K$279</f>
        <v>200</v>
      </c>
      <c r="G23" s="85" t="n">
        <f aca="false">Gov_Map!$L$279</f>
        <v>800</v>
      </c>
      <c r="H23" s="85" t="str">
        <f aca="false">Gov_Map!$P$279</f>
        <v>高</v>
      </c>
      <c r="I23" s="85" t="str">
        <f aca="false">Gov_Map!$T$279</f>
        <v>—</v>
      </c>
      <c r="J23" s="80" t="s">
        <v>2739</v>
      </c>
      <c r="K23" s="53"/>
      <c r="L23" s="85" t="str">
        <f aca="false">IF(ISNUMBER(Gov_Map!$AF$279),INDEX(IDX_SrcDate,Gov_Map!$AF$279),"—")</f>
        <v>—</v>
      </c>
      <c r="M23" s="86" t="s">
        <v>2746</v>
      </c>
      <c r="N23" s="104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85" t="str">
        <f aca="false">Gov_Map!$A$285</f>
        <v>GM281</v>
      </c>
      <c r="B24" s="85" t="str">
        <f aca="false">Gov_Map!$C$285</f>
        <v>Workload</v>
      </c>
      <c r="C24" s="85" t="str">
        <f aca="false">Gov_Map!$D$285</f>
        <v>C11</v>
      </c>
      <c r="D24" s="202" t="str">
        <f aca="false">Gov_Map!$E$285</f>
        <v>歷史快取命中率 χ</v>
      </c>
      <c r="E24" s="85" t="str">
        <f aca="false">Gov_Map!$F$285</f>
        <v>Assumed</v>
      </c>
      <c r="F24" s="85" t="n">
        <f aca="false">Gov_Map!$K$285</f>
        <v>0.3</v>
      </c>
      <c r="G24" s="85" t="n">
        <f aca="false">Gov_Map!$L$285</f>
        <v>0.7</v>
      </c>
      <c r="H24" s="85" t="str">
        <f aca="false">Gov_Map!$P$285</f>
        <v>高</v>
      </c>
      <c r="I24" s="85" t="str">
        <f aca="false">Gov_Map!$T$285</f>
        <v>—</v>
      </c>
      <c r="J24" s="80" t="s">
        <v>2739</v>
      </c>
      <c r="K24" s="53"/>
      <c r="L24" s="85" t="str">
        <f aca="false">IF(ISNUMBER(Gov_Map!$AF$285),INDEX(IDX_SrcDate,Gov_Map!$AF$285),"—")</f>
        <v>—</v>
      </c>
      <c r="M24" s="86" t="s">
        <v>2747</v>
      </c>
      <c r="N24" s="104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85" t="str">
        <f aca="false">Gov_Map!$A$286</f>
        <v>GM282</v>
      </c>
      <c r="B25" s="85" t="str">
        <f aca="false">Gov_Map!$C$286</f>
        <v>Workload</v>
      </c>
      <c r="C25" s="85" t="str">
        <f aca="false">Gov_Map!$D$286</f>
        <v>D11</v>
      </c>
      <c r="D25" s="202" t="str">
        <f aca="false">Gov_Map!$E$286</f>
        <v>歷史快取命中率 χ</v>
      </c>
      <c r="E25" s="85" t="str">
        <f aca="false">Gov_Map!$F$286</f>
        <v>Assumed</v>
      </c>
      <c r="F25" s="85" t="n">
        <f aca="false">Gov_Map!$K$286</f>
        <v>0.3</v>
      </c>
      <c r="G25" s="85" t="n">
        <f aca="false">Gov_Map!$L$286</f>
        <v>0.7</v>
      </c>
      <c r="H25" s="85" t="str">
        <f aca="false">Gov_Map!$P$286</f>
        <v>高</v>
      </c>
      <c r="I25" s="85" t="str">
        <f aca="false">Gov_Map!$T$286</f>
        <v>—</v>
      </c>
      <c r="J25" s="80" t="s">
        <v>2739</v>
      </c>
      <c r="K25" s="53"/>
      <c r="L25" s="85" t="str">
        <f aca="false">IF(ISNUMBER(Gov_Map!$AF$286),INDEX(IDX_SrcDate,Gov_Map!$AF$286),"—")</f>
        <v>—</v>
      </c>
      <c r="M25" s="86" t="s">
        <v>2748</v>
      </c>
      <c r="N25" s="104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85" t="str">
        <f aca="false">Gov_Map!$A$287</f>
        <v>GM283</v>
      </c>
      <c r="B26" s="85" t="str">
        <f aca="false">Gov_Map!$C$287</f>
        <v>Workload</v>
      </c>
      <c r="C26" s="85" t="str">
        <f aca="false">Gov_Map!$D$287</f>
        <v>E11</v>
      </c>
      <c r="D26" s="202" t="str">
        <f aca="false">Gov_Map!$E$287</f>
        <v>歷史快取命中率 χ</v>
      </c>
      <c r="E26" s="85" t="str">
        <f aca="false">Gov_Map!$F$287</f>
        <v>Assumed</v>
      </c>
      <c r="F26" s="85" t="n">
        <f aca="false">Gov_Map!$K$287</f>
        <v>0.7</v>
      </c>
      <c r="G26" s="85" t="n">
        <f aca="false">Gov_Map!$L$287</f>
        <v>0.95</v>
      </c>
      <c r="H26" s="85" t="str">
        <f aca="false">Gov_Map!$P$287</f>
        <v>高</v>
      </c>
      <c r="I26" s="85" t="str">
        <f aca="false">Gov_Map!$T$287</f>
        <v>—</v>
      </c>
      <c r="J26" s="80" t="s">
        <v>2739</v>
      </c>
      <c r="K26" s="53"/>
      <c r="L26" s="85" t="str">
        <f aca="false">IF(ISNUMBER(Gov_Map!$AF$287),INDEX(IDX_SrcDate,Gov_Map!$AF$287),"—")</f>
        <v>—</v>
      </c>
      <c r="M26" s="86" t="s">
        <v>2749</v>
      </c>
      <c r="N26" s="104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85" t="str">
        <f aca="false">Gov_Map!$A$288</f>
        <v>GM284</v>
      </c>
      <c r="B27" s="85" t="str">
        <f aca="false">Gov_Map!$C$288</f>
        <v>Workload</v>
      </c>
      <c r="C27" s="85" t="str">
        <f aca="false">Gov_Map!$D$288</f>
        <v>F11</v>
      </c>
      <c r="D27" s="202" t="str">
        <f aca="false">Gov_Map!$E$288</f>
        <v>歷史快取命中率 χ</v>
      </c>
      <c r="E27" s="85" t="str">
        <f aca="false">Gov_Map!$F$288</f>
        <v>Assumed</v>
      </c>
      <c r="F27" s="85" t="n">
        <f aca="false">Gov_Map!$K$288</f>
        <v>0.7</v>
      </c>
      <c r="G27" s="85" t="n">
        <f aca="false">Gov_Map!$L$288</f>
        <v>0.95</v>
      </c>
      <c r="H27" s="85" t="str">
        <f aca="false">Gov_Map!$P$288</f>
        <v>高</v>
      </c>
      <c r="I27" s="85" t="str">
        <f aca="false">Gov_Map!$T$288</f>
        <v>—</v>
      </c>
      <c r="J27" s="80" t="s">
        <v>2739</v>
      </c>
      <c r="K27" s="53"/>
      <c r="L27" s="85" t="str">
        <f aca="false">IF(ISNUMBER(Gov_Map!$AF$288),INDEX(IDX_SrcDate,Gov_Map!$AF$288),"—")</f>
        <v>—</v>
      </c>
      <c r="M27" s="86" t="s">
        <v>2750</v>
      </c>
      <c r="N27" s="104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85" t="str">
        <f aca="false">Gov_Map!$A$289</f>
        <v>GM285</v>
      </c>
      <c r="B28" s="85" t="str">
        <f aca="false">Gov_Map!$C$289</f>
        <v>Workload</v>
      </c>
      <c r="C28" s="85" t="str">
        <f aca="false">Gov_Map!$D$289</f>
        <v>G11</v>
      </c>
      <c r="D28" s="202" t="str">
        <f aca="false">Gov_Map!$E$289</f>
        <v>歷史快取命中率 χ</v>
      </c>
      <c r="E28" s="85" t="str">
        <f aca="false">Gov_Map!$F$289</f>
        <v>Assumed</v>
      </c>
      <c r="F28" s="85" t="n">
        <f aca="false">Gov_Map!$K$289</f>
        <v>0.7</v>
      </c>
      <c r="G28" s="85" t="n">
        <f aca="false">Gov_Map!$L$289</f>
        <v>0.95</v>
      </c>
      <c r="H28" s="85" t="str">
        <f aca="false">Gov_Map!$P$289</f>
        <v>高</v>
      </c>
      <c r="I28" s="85" t="str">
        <f aca="false">Gov_Map!$T$289</f>
        <v>—</v>
      </c>
      <c r="J28" s="80" t="s">
        <v>2739</v>
      </c>
      <c r="K28" s="53"/>
      <c r="L28" s="85" t="str">
        <f aca="false">IF(ISNUMBER(Gov_Map!$AF$289),INDEX(IDX_SrcDate,Gov_Map!$AF$289),"—")</f>
        <v>—</v>
      </c>
      <c r="M28" s="86" t="s">
        <v>2751</v>
      </c>
      <c r="N28" s="104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85" t="str">
        <f aca="false">Gov_Map!$A$294</f>
        <v>GM290</v>
      </c>
      <c r="B29" s="85" t="str">
        <f aca="false">Gov_Map!$C$294</f>
        <v>Workload</v>
      </c>
      <c r="C29" s="85" t="str">
        <f aca="false">Gov_Map!$D$294</f>
        <v>G12</v>
      </c>
      <c r="D29" s="202" t="str">
        <f aca="false">Gov_Map!$E$294</f>
        <v>並行子代理數 m</v>
      </c>
      <c r="E29" s="85" t="str">
        <f aca="false">Gov_Map!$F$294</f>
        <v>Assumed</v>
      </c>
      <c r="F29" s="85" t="n">
        <f aca="false">Gov_Map!$K$294</f>
        <v>0</v>
      </c>
      <c r="G29" s="85" t="n">
        <f aca="false">Gov_Map!$L$294</f>
        <v>1</v>
      </c>
      <c r="H29" s="85" t="str">
        <f aca="false">Gov_Map!$P$294</f>
        <v>高</v>
      </c>
      <c r="I29" s="85" t="str">
        <f aca="false">Gov_Map!$T$294</f>
        <v>—</v>
      </c>
      <c r="J29" s="80" t="s">
        <v>2739</v>
      </c>
      <c r="K29" s="53"/>
      <c r="L29" s="85" t="str">
        <f aca="false">IF(ISNUMBER(Gov_Map!$AF$294),INDEX(IDX_SrcDate,Gov_Map!$AF$294),"—")</f>
        <v>—</v>
      </c>
      <c r="M29" s="86" t="s">
        <v>2752</v>
      </c>
      <c r="N29" s="104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42.5" hidden="false" customHeight="false" outlineLevel="0" collapsed="false">
      <c r="A30" s="85" t="str">
        <f aca="false">Gov_Map!$A$308</f>
        <v>GM304</v>
      </c>
      <c r="B30" s="85" t="str">
        <f aca="false">Gov_Map!$C$308</f>
        <v>Calib</v>
      </c>
      <c r="C30" s="85" t="str">
        <f aca="false">Gov_Map!$D$308</f>
        <v>C5</v>
      </c>
      <c r="D30" s="202" t="str">
        <f aca="false">Gov_Map!$E$308</f>
        <v>η_p：prefill 達成峰值比例</v>
      </c>
      <c r="E30" s="85" t="str">
        <f aca="false">Gov_Map!$F$308</f>
        <v>Analogy</v>
      </c>
      <c r="F30" s="85" t="n">
        <f aca="false">Gov_Map!$K$308</f>
        <v>0.15</v>
      </c>
      <c r="G30" s="85" t="n">
        <f aca="false">Gov_Map!$L$308</f>
        <v>0.45</v>
      </c>
      <c r="H30" s="85" t="str">
        <f aca="false">Gov_Map!$P$308</f>
        <v>高</v>
      </c>
      <c r="I30" s="85" t="n">
        <f aca="false">Gov_Map!$T$308</f>
        <v>1</v>
      </c>
      <c r="J30" s="80" t="s">
        <v>2724</v>
      </c>
      <c r="K30" s="53"/>
      <c r="L30" s="85" t="str">
        <f aca="false">IF(ISNUMBER(Gov_Map!$AF$308),INDEX(IDX_SrcDate,Gov_Map!$AF$308),"—")</f>
        <v>—</v>
      </c>
      <c r="M30" s="86" t="s">
        <v>2753</v>
      </c>
      <c r="N30" s="104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42.5" hidden="false" customHeight="false" outlineLevel="0" collapsed="false">
      <c r="A31" s="85" t="str">
        <f aca="false">Gov_Map!$A$345</f>
        <v>GM341</v>
      </c>
      <c r="B31" s="85" t="str">
        <f aca="false">Gov_Map!$C$345</f>
        <v>Calib</v>
      </c>
      <c r="C31" s="85" t="str">
        <f aca="false">Gov_Map!$D$345</f>
        <v>C67</v>
      </c>
      <c r="D31" s="202" t="str">
        <f aca="false">Gov_Map!$E$345</f>
        <v>η_d 倍數</v>
      </c>
      <c r="E31" s="85" t="str">
        <f aca="false">Gov_Map!$F$345</f>
        <v>Analogy</v>
      </c>
      <c r="F31" s="85" t="n">
        <f aca="false">Gov_Map!$K$345</f>
        <v>0.5</v>
      </c>
      <c r="G31" s="85" t="n">
        <f aca="false">Gov_Map!$L$345</f>
        <v>2.5</v>
      </c>
      <c r="H31" s="85" t="str">
        <f aca="false">Gov_Map!$P$345</f>
        <v>高</v>
      </c>
      <c r="I31" s="85" t="n">
        <f aca="false">Gov_Map!$T$345</f>
        <v>1</v>
      </c>
      <c r="J31" s="80" t="s">
        <v>2724</v>
      </c>
      <c r="K31" s="53"/>
      <c r="L31" s="85" t="str">
        <f aca="false">IF(ISNUMBER(Gov_Map!$AF$345),INDEX(IDX_SrcDate,Gov_Map!$AF$345),"—")</f>
        <v>—</v>
      </c>
      <c r="M31" s="86" t="s">
        <v>2754</v>
      </c>
      <c r="N31" s="104" t="str">
        <f aca="false">IF(AND(ISTEXT(L31),LEN(L31)=10),IF(ISNUMBER(VALUE(SUBSTITUTE(L31,"-",""))),DATE(VALUE(LEFT($C$3,4)),VALUE(MID($C$3,6,2)),VALUE(RIGHT($C$3,2)))-DATE(VALUE(LEFT(L31,4)),VALUE(MID(L31,6,2)),VALUE(RIGHT(L31,2))),"—"),"—")</f>
        <v>—</v>
      </c>
    </row>
    <row r="32" customFormat="false" ht="242.5" hidden="false" customHeight="false" outlineLevel="0" collapsed="false">
      <c r="A32" s="85" t="str">
        <f aca="false">Gov_Map!$A$346</f>
        <v>GM342</v>
      </c>
      <c r="B32" s="85" t="str">
        <f aca="false">Gov_Map!$C$346</f>
        <v>Calib</v>
      </c>
      <c r="C32" s="85" t="str">
        <f aca="false">Gov_Map!$D$346</f>
        <v>D67</v>
      </c>
      <c r="D32" s="202" t="str">
        <f aca="false">Gov_Map!$E$346</f>
        <v>η_d 倍數</v>
      </c>
      <c r="E32" s="85" t="str">
        <f aca="false">Gov_Map!$F$346</f>
        <v>Analogy</v>
      </c>
      <c r="F32" s="85" t="n">
        <f aca="false">Gov_Map!$K$346</f>
        <v>0.5</v>
      </c>
      <c r="G32" s="85" t="n">
        <f aca="false">Gov_Map!$L$346</f>
        <v>1.5</v>
      </c>
      <c r="H32" s="85" t="str">
        <f aca="false">Gov_Map!$P$346</f>
        <v>高</v>
      </c>
      <c r="I32" s="85" t="n">
        <f aca="false">Gov_Map!$T$346</f>
        <v>2</v>
      </c>
      <c r="J32" s="80" t="s">
        <v>2724</v>
      </c>
      <c r="K32" s="53"/>
      <c r="L32" s="85" t="str">
        <f aca="false">IF(ISNUMBER(Gov_Map!$AF$346),INDEX(IDX_SrcDate,Gov_Map!$AF$346),"—")</f>
        <v>2026-10-05</v>
      </c>
      <c r="M32" s="86" t="s">
        <v>2755</v>
      </c>
      <c r="N32" s="104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42.5" hidden="false" customHeight="false" outlineLevel="0" collapsed="false">
      <c r="A33" s="85" t="str">
        <f aca="false">Gov_Map!$A$347</f>
        <v>GM343</v>
      </c>
      <c r="B33" s="85" t="str">
        <f aca="false">Gov_Map!$C$347</f>
        <v>Calib</v>
      </c>
      <c r="C33" s="85" t="str">
        <f aca="false">Gov_Map!$D$347</f>
        <v>E67</v>
      </c>
      <c r="D33" s="202" t="str">
        <f aca="false">Gov_Map!$E$347</f>
        <v>η_d 倍數</v>
      </c>
      <c r="E33" s="85" t="str">
        <f aca="false">Gov_Map!$F$347</f>
        <v>Analogy</v>
      </c>
      <c r="F33" s="85" t="n">
        <f aca="false">Gov_Map!$K$347</f>
        <v>0.5</v>
      </c>
      <c r="G33" s="85" t="n">
        <f aca="false">Gov_Map!$L$347</f>
        <v>1.5</v>
      </c>
      <c r="H33" s="85" t="str">
        <f aca="false">Gov_Map!$P$347</f>
        <v>高</v>
      </c>
      <c r="I33" s="85" t="n">
        <f aca="false">Gov_Map!$T$347</f>
        <v>2</v>
      </c>
      <c r="J33" s="80" t="s">
        <v>2724</v>
      </c>
      <c r="K33" s="53"/>
      <c r="L33" s="85" t="str">
        <f aca="false">IF(ISNUMBER(Gov_Map!$AF$347),INDEX(IDX_SrcDate,Gov_Map!$AF$347),"—")</f>
        <v>2026-10-05</v>
      </c>
      <c r="M33" s="86" t="s">
        <v>2756</v>
      </c>
      <c r="N33" s="104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42.5" hidden="false" customHeight="false" outlineLevel="0" collapsed="false">
      <c r="A34" s="85" t="str">
        <f aca="false">Gov_Map!$A$348</f>
        <v>GM344</v>
      </c>
      <c r="B34" s="85" t="str">
        <f aca="false">Gov_Map!$C$348</f>
        <v>Calib</v>
      </c>
      <c r="C34" s="85" t="str">
        <f aca="false">Gov_Map!$D$348</f>
        <v>F67</v>
      </c>
      <c r="D34" s="202" t="str">
        <f aca="false">Gov_Map!$E$348</f>
        <v>η_d 倍數</v>
      </c>
      <c r="E34" s="85" t="str">
        <f aca="false">Gov_Map!$F$348</f>
        <v>Analogy</v>
      </c>
      <c r="F34" s="85" t="n">
        <f aca="false">Gov_Map!$K$348</f>
        <v>0.5</v>
      </c>
      <c r="G34" s="85" t="n">
        <f aca="false">Gov_Map!$L$348</f>
        <v>1.5</v>
      </c>
      <c r="H34" s="85" t="str">
        <f aca="false">Gov_Map!$P$348</f>
        <v>高</v>
      </c>
      <c r="I34" s="85" t="n">
        <f aca="false">Gov_Map!$T$348</f>
        <v>2</v>
      </c>
      <c r="J34" s="80" t="s">
        <v>2724</v>
      </c>
      <c r="K34" s="53"/>
      <c r="L34" s="85" t="str">
        <f aca="false">IF(ISNUMBER(Gov_Map!$AF$348),INDEX(IDX_SrcDate,Gov_Map!$AF$348),"—")</f>
        <v>2026-10-05</v>
      </c>
      <c r="M34" s="86" t="s">
        <v>2757</v>
      </c>
      <c r="N34" s="104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42.5" hidden="false" customHeight="false" outlineLevel="0" collapsed="false">
      <c r="A35" s="85" t="str">
        <f aca="false">Gov_Map!$A$349</f>
        <v>GM345</v>
      </c>
      <c r="B35" s="85" t="str">
        <f aca="false">Gov_Map!$C$349</f>
        <v>Calib</v>
      </c>
      <c r="C35" s="85" t="str">
        <f aca="false">Gov_Map!$D$349</f>
        <v>G67</v>
      </c>
      <c r="D35" s="202" t="str">
        <f aca="false">Gov_Map!$E$349</f>
        <v>η_d 倍數</v>
      </c>
      <c r="E35" s="85" t="str">
        <f aca="false">Gov_Map!$F$349</f>
        <v>Analogy</v>
      </c>
      <c r="F35" s="85" t="n">
        <f aca="false">Gov_Map!$K$349</f>
        <v>0.5</v>
      </c>
      <c r="G35" s="85" t="n">
        <f aca="false">Gov_Map!$L$349</f>
        <v>1.5</v>
      </c>
      <c r="H35" s="85" t="str">
        <f aca="false">Gov_Map!$P$349</f>
        <v>高</v>
      </c>
      <c r="I35" s="85" t="n">
        <f aca="false">Gov_Map!$T$349</f>
        <v>2</v>
      </c>
      <c r="J35" s="80" t="s">
        <v>2724</v>
      </c>
      <c r="K35" s="53"/>
      <c r="L35" s="85" t="str">
        <f aca="false">IF(ISNUMBER(Gov_Map!$AF$349),INDEX(IDX_SrcDate,Gov_Map!$AF$349),"—")</f>
        <v>2026-10-05</v>
      </c>
      <c r="M35" s="86" t="s">
        <v>2758</v>
      </c>
      <c r="N35" s="104" t="n">
        <f aca="false">IF(AND(ISTEXT(L35),LEN(L35)=10),IF(ISNUMBER(VALUE(SUBSTITUTE(L35,"-",""))),DATE(VALUE(LEFT($C$3,4)),VALUE(MID($C$3,6,2)),VALUE(RIGHT($C$3,2)))-DATE(VALUE(LEFT(L35,4)),VALUE(MID(L35,6,2)),VALUE(RIGHT(L35,2))),"—"),"—")</f>
        <v>3</v>
      </c>
    </row>
    <row r="36" customFormat="false" ht="242.5" hidden="false" customHeight="false" outlineLevel="0" collapsed="false">
      <c r="A36" s="85" t="str">
        <f aca="false">Gov_Map!$A$350</f>
        <v>GM346</v>
      </c>
      <c r="B36" s="85" t="str">
        <f aca="false">Gov_Map!$C$350</f>
        <v>Calib</v>
      </c>
      <c r="C36" s="85" t="str">
        <f aca="false">Gov_Map!$D$350</f>
        <v>C68</v>
      </c>
      <c r="D36" s="202" t="str">
        <f aca="false">Gov_Map!$E$350</f>
        <v>每層延遲倍數</v>
      </c>
      <c r="E36" s="85" t="str">
        <f aca="false">Gov_Map!$F$350</f>
        <v>Assumed</v>
      </c>
      <c r="F36" s="85" t="n">
        <f aca="false">Gov_Map!$K$350</f>
        <v>1</v>
      </c>
      <c r="G36" s="85" t="n">
        <f aca="false">Gov_Map!$L$350</f>
        <v>3</v>
      </c>
      <c r="H36" s="85" t="str">
        <f aca="false">Gov_Map!$P$350</f>
        <v>高</v>
      </c>
      <c r="I36" s="85" t="str">
        <f aca="false">Gov_Map!$T$350</f>
        <v>—</v>
      </c>
      <c r="J36" s="80" t="s">
        <v>2724</v>
      </c>
      <c r="K36" s="53"/>
      <c r="L36" s="85" t="str">
        <f aca="false">IF(ISNUMBER(Gov_Map!$AF$350),INDEX(IDX_SrcDate,Gov_Map!$AF$350),"—")</f>
        <v>—</v>
      </c>
      <c r="M36" s="86" t="s">
        <v>2759</v>
      </c>
      <c r="N36" s="104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42.5" hidden="false" customHeight="false" outlineLevel="0" collapsed="false">
      <c r="A37" s="85" t="str">
        <f aca="false">Gov_Map!$A$351</f>
        <v>GM347</v>
      </c>
      <c r="B37" s="85" t="str">
        <f aca="false">Gov_Map!$C$351</f>
        <v>Calib</v>
      </c>
      <c r="C37" s="85" t="str">
        <f aca="false">Gov_Map!$D$351</f>
        <v>D68</v>
      </c>
      <c r="D37" s="202" t="str">
        <f aca="false">Gov_Map!$E$351</f>
        <v>每層延遲倍數</v>
      </c>
      <c r="E37" s="85" t="str">
        <f aca="false">Gov_Map!$F$351</f>
        <v>Assumed</v>
      </c>
      <c r="F37" s="85" t="n">
        <f aca="false">Gov_Map!$K$351</f>
        <v>1</v>
      </c>
      <c r="G37" s="85" t="n">
        <f aca="false">Gov_Map!$L$351</f>
        <v>1.5</v>
      </c>
      <c r="H37" s="85" t="str">
        <f aca="false">Gov_Map!$P$351</f>
        <v>高</v>
      </c>
      <c r="I37" s="85" t="str">
        <f aca="false">Gov_Map!$T$351</f>
        <v>—</v>
      </c>
      <c r="J37" s="80" t="s">
        <v>2724</v>
      </c>
      <c r="K37" s="53"/>
      <c r="L37" s="85" t="str">
        <f aca="false">IF(ISNUMBER(Gov_Map!$AF$351),INDEX(IDX_SrcDate,Gov_Map!$AF$351),"—")</f>
        <v>—</v>
      </c>
      <c r="M37" s="86" t="s">
        <v>2760</v>
      </c>
      <c r="N37" s="104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42.5" hidden="false" customHeight="false" outlineLevel="0" collapsed="false">
      <c r="A38" s="85" t="str">
        <f aca="false">Gov_Map!$A$352</f>
        <v>GM348</v>
      </c>
      <c r="B38" s="85" t="str">
        <f aca="false">Gov_Map!$C$352</f>
        <v>Calib</v>
      </c>
      <c r="C38" s="85" t="str">
        <f aca="false">Gov_Map!$D$352</f>
        <v>E68</v>
      </c>
      <c r="D38" s="202" t="str">
        <f aca="false">Gov_Map!$E$352</f>
        <v>每層延遲倍數</v>
      </c>
      <c r="E38" s="85" t="str">
        <f aca="false">Gov_Map!$F$352</f>
        <v>Assumed</v>
      </c>
      <c r="F38" s="85" t="n">
        <f aca="false">Gov_Map!$K$352</f>
        <v>1</v>
      </c>
      <c r="G38" s="85" t="n">
        <f aca="false">Gov_Map!$L$352</f>
        <v>1.5</v>
      </c>
      <c r="H38" s="85" t="str">
        <f aca="false">Gov_Map!$P$352</f>
        <v>高</v>
      </c>
      <c r="I38" s="85" t="str">
        <f aca="false">Gov_Map!$T$352</f>
        <v>—</v>
      </c>
      <c r="J38" s="80" t="s">
        <v>2724</v>
      </c>
      <c r="K38" s="53"/>
      <c r="L38" s="85" t="str">
        <f aca="false">IF(ISNUMBER(Gov_Map!$AF$352),INDEX(IDX_SrcDate,Gov_Map!$AF$352),"—")</f>
        <v>—</v>
      </c>
      <c r="M38" s="86" t="s">
        <v>2761</v>
      </c>
      <c r="N38" s="104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42.5" hidden="false" customHeight="false" outlineLevel="0" collapsed="false">
      <c r="A39" s="85" t="str">
        <f aca="false">Gov_Map!$A$353</f>
        <v>GM349</v>
      </c>
      <c r="B39" s="85" t="str">
        <f aca="false">Gov_Map!$C$353</f>
        <v>Calib</v>
      </c>
      <c r="C39" s="85" t="str">
        <f aca="false">Gov_Map!$D$353</f>
        <v>F68</v>
      </c>
      <c r="D39" s="202" t="str">
        <f aca="false">Gov_Map!$E$353</f>
        <v>每層延遲倍數</v>
      </c>
      <c r="E39" s="85" t="str">
        <f aca="false">Gov_Map!$F$353</f>
        <v>Assumed</v>
      </c>
      <c r="F39" s="85" t="n">
        <f aca="false">Gov_Map!$K$353</f>
        <v>1</v>
      </c>
      <c r="G39" s="85" t="n">
        <f aca="false">Gov_Map!$L$353</f>
        <v>1.5</v>
      </c>
      <c r="H39" s="85" t="str">
        <f aca="false">Gov_Map!$P$353</f>
        <v>高</v>
      </c>
      <c r="I39" s="85" t="str">
        <f aca="false">Gov_Map!$T$353</f>
        <v>—</v>
      </c>
      <c r="J39" s="80" t="s">
        <v>2724</v>
      </c>
      <c r="K39" s="53"/>
      <c r="L39" s="85" t="str">
        <f aca="false">IF(ISNUMBER(Gov_Map!$AF$353),INDEX(IDX_SrcDate,Gov_Map!$AF$353),"—")</f>
        <v>—</v>
      </c>
      <c r="M39" s="86" t="s">
        <v>2762</v>
      </c>
      <c r="N39" s="104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42.5" hidden="false" customHeight="false" outlineLevel="0" collapsed="false">
      <c r="A40" s="85" t="str">
        <f aca="false">Gov_Map!$A$354</f>
        <v>GM350</v>
      </c>
      <c r="B40" s="85" t="str">
        <f aca="false">Gov_Map!$C$354</f>
        <v>Calib</v>
      </c>
      <c r="C40" s="85" t="str">
        <f aca="false">Gov_Map!$D$354</f>
        <v>G68</v>
      </c>
      <c r="D40" s="202" t="str">
        <f aca="false">Gov_Map!$E$354</f>
        <v>每層延遲倍數</v>
      </c>
      <c r="E40" s="85" t="str">
        <f aca="false">Gov_Map!$F$354</f>
        <v>Assumed</v>
      </c>
      <c r="F40" s="85" t="n">
        <f aca="false">Gov_Map!$K$354</f>
        <v>1</v>
      </c>
      <c r="G40" s="85" t="n">
        <f aca="false">Gov_Map!$L$354</f>
        <v>1.5</v>
      </c>
      <c r="H40" s="85" t="str">
        <f aca="false">Gov_Map!$P$354</f>
        <v>高</v>
      </c>
      <c r="I40" s="85" t="str">
        <f aca="false">Gov_Map!$T$354</f>
        <v>—</v>
      </c>
      <c r="J40" s="80" t="s">
        <v>2724</v>
      </c>
      <c r="K40" s="53"/>
      <c r="L40" s="85" t="str">
        <f aca="false">IF(ISNUMBER(Gov_Map!$AF$354),INDEX(IDX_SrcDate,Gov_Map!$AF$354),"—")</f>
        <v>—</v>
      </c>
      <c r="M40" s="86" t="s">
        <v>2763</v>
      </c>
      <c r="N40" s="104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191.75" hidden="false" customHeight="false" outlineLevel="0" collapsed="false">
      <c r="A41" s="85" t="str">
        <f aca="false">Gov_Map!$A$358</f>
        <v>GM354</v>
      </c>
      <c r="B41" s="85" t="str">
        <f aca="false">Gov_Map!$C$358</f>
        <v>Calib</v>
      </c>
      <c r="C41" s="85" t="str">
        <f aca="false">Gov_Map!$D$358</f>
        <v>F69</v>
      </c>
      <c r="D41" s="202" t="str">
        <f aca="false">Gov_Map!$E$358</f>
        <v>η_p 倍數</v>
      </c>
      <c r="E41" s="85" t="str">
        <f aca="false">Gov_Map!$F$358</f>
        <v>Assumed</v>
      </c>
      <c r="F41" s="85" t="n">
        <f aca="false">Gov_Map!$K$358</f>
        <v>0.5</v>
      </c>
      <c r="G41" s="85" t="n">
        <f aca="false">Gov_Map!$L$358</f>
        <v>1.5</v>
      </c>
      <c r="H41" s="85" t="str">
        <f aca="false">Gov_Map!$P$358</f>
        <v>高</v>
      </c>
      <c r="I41" s="85" t="str">
        <f aca="false">Gov_Map!$T$358</f>
        <v>—</v>
      </c>
      <c r="J41" s="80" t="s">
        <v>2764</v>
      </c>
      <c r="K41" s="53"/>
      <c r="L41" s="85" t="str">
        <f aca="false">IF(ISNUMBER(Gov_Map!$AF$358),INDEX(IDX_SrcDate,Gov_Map!$AF$358),"—")</f>
        <v>—</v>
      </c>
      <c r="M41" s="86" t="s">
        <v>2765</v>
      </c>
      <c r="N41" s="104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85" t="str">
        <f aca="false">Gov_Map!$A$458</f>
        <v>GM454</v>
      </c>
      <c r="B42" s="85" t="str">
        <f aca="false">Gov_Map!$C$458</f>
        <v>Cap_In</v>
      </c>
      <c r="C42" s="85" t="str">
        <f aca="false">Gov_Map!$D$458</f>
        <v>D28:E28</v>
      </c>
      <c r="D42" s="202" t="str">
        <f aca="false">Gov_Map!$E$458</f>
        <v>對外服務占機隊</v>
      </c>
      <c r="E42" s="85" t="str">
        <f aca="false">Gov_Map!$F$458</f>
        <v>Assumed</v>
      </c>
      <c r="F42" s="85" t="n">
        <f aca="false">Gov_Map!$K$458</f>
        <v>0</v>
      </c>
      <c r="G42" s="85" t="n">
        <f aca="false">Gov_Map!$L$458</f>
        <v>0</v>
      </c>
      <c r="H42" s="85" t="str">
        <f aca="false">Gov_Map!$P$458</f>
        <v>高</v>
      </c>
      <c r="I42" s="85" t="str">
        <f aca="false">Gov_Map!$T$458</f>
        <v>—</v>
      </c>
      <c r="J42" s="80" t="s">
        <v>587</v>
      </c>
      <c r="K42" s="53"/>
      <c r="L42" s="85" t="str">
        <f aca="false">IF(ISNUMBER(Gov_Map!$AF$458),INDEX(IDX_SrcDate,Gov_Map!$AF$458),"—")</f>
        <v>—</v>
      </c>
      <c r="M42" s="86" t="s">
        <v>2766</v>
      </c>
      <c r="N42" s="104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39.55" hidden="false" customHeight="false" outlineLevel="0" collapsed="false">
      <c r="A43" s="85" t="str">
        <f aca="false">Gov_Map!$A$460</f>
        <v>GM456</v>
      </c>
      <c r="B43" s="85" t="str">
        <f aca="false">Gov_Map!$C$460</f>
        <v>Cap_In</v>
      </c>
      <c r="C43" s="85" t="str">
        <f aca="false">Gov_Map!$D$460</f>
        <v>D29:E29</v>
      </c>
      <c r="D43" s="202" t="str">
        <f aca="false">Gov_Map!$E$460</f>
        <v>其中免費服務占服務</v>
      </c>
      <c r="E43" s="85" t="str">
        <f aca="false">Gov_Map!$F$460</f>
        <v>Assumed</v>
      </c>
      <c r="F43" s="85" t="n">
        <f aca="false">Gov_Map!$K$460</f>
        <v>0</v>
      </c>
      <c r="G43" s="85" t="n">
        <f aca="false">Gov_Map!$L$460</f>
        <v>0</v>
      </c>
      <c r="H43" s="85" t="str">
        <f aca="false">Gov_Map!$P$460</f>
        <v>高</v>
      </c>
      <c r="I43" s="85" t="str">
        <f aca="false">Gov_Map!$T$460</f>
        <v>—</v>
      </c>
      <c r="J43" s="80" t="s">
        <v>587</v>
      </c>
      <c r="K43" s="53"/>
      <c r="L43" s="85" t="str">
        <f aca="false">IF(ISNUMBER(Gov_Map!$AF$460),INDEX(IDX_SrcDate,Gov_Map!$AF$460),"—")</f>
        <v>—</v>
      </c>
      <c r="M43" s="86" t="s">
        <v>2767</v>
      </c>
      <c r="N43" s="104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62.65" hidden="false" customHeight="false" outlineLevel="0" collapsed="false">
      <c r="A44" s="85" t="str">
        <f aca="false">Gov_Map!$A$463</f>
        <v>GM459</v>
      </c>
      <c r="B44" s="85" t="str">
        <f aca="false">Gov_Map!$C$463</f>
        <v>Cap_In</v>
      </c>
      <c r="C44" s="85" t="str">
        <f aca="false">Gov_Map!$D$463</f>
        <v>C36</v>
      </c>
      <c r="D44" s="202" t="str">
        <f aca="false">Gov_Map!$E$463</f>
        <v>儲存層（1＝SSD；2＝DRAM；3＝HBM）</v>
      </c>
      <c r="E44" s="85" t="str">
        <f aca="false">Gov_Map!$F$463</f>
        <v>Assumed</v>
      </c>
      <c r="F44" s="82" t="n">
        <f aca="false">Gov_Map!$K$463</f>
        <v>1</v>
      </c>
      <c r="G44" s="82" t="n">
        <f aca="false">Gov_Map!$L$463</f>
        <v>3</v>
      </c>
      <c r="H44" s="85" t="str">
        <f aca="false">Gov_Map!$P$463</f>
        <v>高</v>
      </c>
      <c r="I44" s="85" t="str">
        <f aca="false">Gov_Map!$T$463</f>
        <v>—</v>
      </c>
      <c r="J44" s="80" t="s">
        <v>2768</v>
      </c>
      <c r="K44" s="53"/>
      <c r="L44" s="85" t="str">
        <f aca="false">IF(ISNUMBER(Gov_Map!$AF$463),INDEX(IDX_SrcDate,Gov_Map!$AF$463),"—")</f>
        <v>—</v>
      </c>
      <c r="M44" s="86" t="s">
        <v>2769</v>
      </c>
      <c r="N44" s="104" t="str">
        <f aca="false">IF(AND(ISTEXT(L44),LEN(L44)=10),IF(ISNUMBER(VALUE(SUBSTITUTE(L44,"-",""))),DATE(VALUE(LEFT($C$3,4)),VALUE(MID($C$3,6,2)),VALUE(RIGHT($C$3,2)))-DATE(VALUE(LEFT(L44,4)),VALUE(MID(L44,6,2)),VALUE(RIGHT(L44,2))),"—"),"—")</f>
        <v>—</v>
      </c>
    </row>
    <row r="45" customFormat="false" ht="52.2" hidden="false" customHeight="false" outlineLevel="0" collapsed="false">
      <c r="A45" s="85" t="str">
        <f aca="false">Gov_Map!$A$523</f>
        <v>GM519</v>
      </c>
      <c r="B45" s="85" t="str">
        <f aca="false">Gov_Map!$C$523</f>
        <v>Train_In</v>
      </c>
      <c r="C45" s="85" t="str">
        <f aca="false">Gov_Map!$D$523</f>
        <v>C6</v>
      </c>
      <c r="D45" s="202" t="str">
        <f aca="false">Gov_Map!$E$523</f>
        <v>預訓練 MFU 基準（FP8 分母；GB200／GB300）</v>
      </c>
      <c r="E45" s="85" t="str">
        <f aca="false">Gov_Map!$F$523</f>
        <v>Analogy</v>
      </c>
      <c r="F45" s="85" t="n">
        <f aca="false">Gov_Map!$K$523</f>
        <v>0.18</v>
      </c>
      <c r="G45" s="85" t="n">
        <f aca="false">Gov_Map!$L$523</f>
        <v>0.35</v>
      </c>
      <c r="H45" s="85" t="str">
        <f aca="false">Gov_Map!$P$523</f>
        <v>高</v>
      </c>
      <c r="I45" s="85" t="n">
        <f aca="false">Gov_Map!$T$523</f>
        <v>1</v>
      </c>
      <c r="J45" s="80" t="s">
        <v>2770</v>
      </c>
      <c r="K45" s="53"/>
      <c r="L45" s="85" t="str">
        <f aca="false">IF(ISNUMBER(Gov_Map!$AF$523),INDEX(IDX_SrcDate,Gov_Map!$AF$523),"—")</f>
        <v>2026-10-05</v>
      </c>
      <c r="M45" s="86" t="s">
        <v>2771</v>
      </c>
      <c r="N45" s="104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52.2" hidden="false" customHeight="false" outlineLevel="0" collapsed="false">
      <c r="A46" s="85" t="str">
        <f aca="false">Gov_Map!$A$524</f>
        <v>GM520</v>
      </c>
      <c r="B46" s="85" t="str">
        <f aca="false">Gov_Map!$C$524</f>
        <v>Train_In</v>
      </c>
      <c r="C46" s="85" t="str">
        <f aca="false">Gov_Map!$D$524</f>
        <v>C7</v>
      </c>
      <c r="D46" s="202" t="str">
        <f aca="false">Gov_Map!$E$524</f>
        <v>goodput（扣除故障、重啟、checkpoint 的有效時間比）</v>
      </c>
      <c r="E46" s="85" t="str">
        <f aca="false">Gov_Map!$F$524</f>
        <v>Analogy</v>
      </c>
      <c r="F46" s="85" t="n">
        <f aca="false">Gov_Map!$K$524</f>
        <v>0.8</v>
      </c>
      <c r="G46" s="85" t="n">
        <f aca="false">Gov_Map!$L$524</f>
        <v>0.95</v>
      </c>
      <c r="H46" s="85" t="str">
        <f aca="false">Gov_Map!$P$524</f>
        <v>高</v>
      </c>
      <c r="I46" s="85" t="n">
        <f aca="false">Gov_Map!$T$524</f>
        <v>1</v>
      </c>
      <c r="J46" s="80" t="s">
        <v>2770</v>
      </c>
      <c r="K46" s="53"/>
      <c r="L46" s="85" t="str">
        <f aca="false">IF(ISNUMBER(Gov_Map!$AF$524),INDEX(IDX_SrcDate,Gov_Map!$AF$524),"—")</f>
        <v>2026-10-05</v>
      </c>
      <c r="M46" s="86" t="s">
        <v>2772</v>
      </c>
      <c r="N46" s="104" t="n">
        <f aca="false">IF(AND(ISTEXT(L46),LEN(L46)=10),IF(ISNUMBER(VALUE(SUBSTITUTE(L46,"-",""))),DATE(VALUE(LEFT($C$3,4)),VALUE(MID($C$3,6,2)),VALUE(RIGHT($C$3,2)))-DATE(VALUE(LEFT(L46,4)),VALUE(MID(L46,6,2)),VALUE(RIGHT(L46,2))),"—"),"—")</f>
        <v>3</v>
      </c>
    </row>
    <row r="47" customFormat="false" ht="39.55" hidden="false" customHeight="false" outlineLevel="0" collapsed="false">
      <c r="A47" s="85" t="str">
        <f aca="false">Gov_Map!$A$530</f>
        <v>GM526</v>
      </c>
      <c r="B47" s="85" t="str">
        <f aca="false">Gov_Map!$C$530</f>
        <v>Train_In</v>
      </c>
      <c r="C47" s="85" t="str">
        <f aca="false">Gov_Map!$D$530</f>
        <v>C13</v>
      </c>
      <c r="D47" s="202" t="str">
        <f aca="false">Gov_Map!$E$530</f>
        <v>研發倍數（研發總 GPU 小時 ÷ 最終訓練）</v>
      </c>
      <c r="E47" s="85" t="str">
        <f aca="false">Gov_Map!$F$530</f>
        <v>Analogy</v>
      </c>
      <c r="F47" s="101" t="n">
        <f aca="false">Gov_Map!$K$530</f>
        <v>4.4</v>
      </c>
      <c r="G47" s="101" t="n">
        <f aca="false">Gov_Map!$L$530</f>
        <v>10.4</v>
      </c>
      <c r="H47" s="85" t="str">
        <f aca="false">Gov_Map!$P$530</f>
        <v>高</v>
      </c>
      <c r="I47" s="85" t="n">
        <f aca="false">Gov_Map!$T$530</f>
        <v>1</v>
      </c>
      <c r="J47" s="80" t="s">
        <v>2773</v>
      </c>
      <c r="K47" s="53"/>
      <c r="L47" s="85" t="str">
        <f aca="false">IF(ISNUMBER(Gov_Map!$AF$530),INDEX(IDX_SrcDate,Gov_Map!$AF$530),"—")</f>
        <v>—</v>
      </c>
      <c r="M47" s="86" t="s">
        <v>2774</v>
      </c>
      <c r="N47" s="104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85" t="str">
        <f aca="false">Gov_Map!$A$534</f>
        <v>GM530</v>
      </c>
      <c r="B48" s="85" t="str">
        <f aca="false">Gov_Map!$C$534</f>
        <v>Train_In</v>
      </c>
      <c r="C48" s="85" t="str">
        <f aca="false">Gov_Map!$D$534</f>
        <v>C21:G21</v>
      </c>
      <c r="D48" s="202" t="str">
        <f aca="false">Gov_Map!$E$534</f>
        <v>預訓練 MFU 世代倍數</v>
      </c>
      <c r="E48" s="85" t="str">
        <f aca="false">Gov_Map!$F$534</f>
        <v>Assumed</v>
      </c>
      <c r="F48" s="85" t="n">
        <f aca="false">Gov_Map!$K$534</f>
        <v>0</v>
      </c>
      <c r="G48" s="85" t="n">
        <f aca="false">Gov_Map!$L$534</f>
        <v>0</v>
      </c>
      <c r="H48" s="85" t="str">
        <f aca="false">Gov_Map!$P$534</f>
        <v>高</v>
      </c>
      <c r="I48" s="85" t="str">
        <f aca="false">Gov_Map!$T$534</f>
        <v>—</v>
      </c>
      <c r="J48" s="80" t="s">
        <v>2770</v>
      </c>
      <c r="K48" s="53"/>
      <c r="L48" s="85" t="str">
        <f aca="false">IF(ISNUMBER(Gov_Map!$AF$534),INDEX(IDX_SrcDate,Gov_Map!$AF$534),"—")</f>
        <v>—</v>
      </c>
      <c r="M48" s="86" t="s">
        <v>2775</v>
      </c>
      <c r="N48" s="104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64.9" hidden="false" customHeight="false" outlineLevel="0" collapsed="false">
      <c r="A49" s="85" t="str">
        <f aca="false">Gov_Map!$A$535</f>
        <v>GM531</v>
      </c>
      <c r="B49" s="85" t="str">
        <f aca="false">Gov_Map!$C$535</f>
        <v>Train_In</v>
      </c>
      <c r="C49" s="85" t="str">
        <f aca="false">Gov_Map!$D$535</f>
        <v>E25</v>
      </c>
      <c r="D49" s="202" t="str">
        <f aca="false">Gov_Map!$E$535</f>
        <v>預訓練 token</v>
      </c>
      <c r="E49" s="85" t="str">
        <f aca="false">Gov_Map!$F$535</f>
        <v>Assumed</v>
      </c>
      <c r="F49" s="85" t="n">
        <f aca="false">Gov_Map!$K$535</f>
        <v>30</v>
      </c>
      <c r="G49" s="85" t="n">
        <f aca="false">Gov_Map!$L$535</f>
        <v>100</v>
      </c>
      <c r="H49" s="85" t="str">
        <f aca="false">Gov_Map!$P$535</f>
        <v>高</v>
      </c>
      <c r="I49" s="85" t="str">
        <f aca="false">Gov_Map!$T$535</f>
        <v>—</v>
      </c>
      <c r="J49" s="80" t="s">
        <v>2776</v>
      </c>
      <c r="K49" s="53"/>
      <c r="L49" s="85" t="str">
        <f aca="false">IF(ISNUMBER(Gov_Map!$AF$535),INDEX(IDX_SrcDate,Gov_Map!$AF$535),"—")</f>
        <v>—</v>
      </c>
      <c r="M49" s="86" t="s">
        <v>2777</v>
      </c>
      <c r="N49" s="104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52.2" hidden="false" customHeight="false" outlineLevel="0" collapsed="false">
      <c r="A50" s="85" t="str">
        <f aca="false">Gov_Map!$A$544</f>
        <v>GM540</v>
      </c>
      <c r="B50" s="85" t="str">
        <f aca="false">Gov_Map!$C$544</f>
        <v>Train_In</v>
      </c>
      <c r="C50" s="85" t="str">
        <f aca="false">Gov_Map!$D$544</f>
        <v>C34:E34</v>
      </c>
      <c r="D50" s="202" t="str">
        <f aca="false">Gov_Map!$E$544</f>
        <v>RL rollout 輸出 token（含各領域專家）</v>
      </c>
      <c r="E50" s="85" t="str">
        <f aca="false">Gov_Map!$F$544</f>
        <v>Assumed</v>
      </c>
      <c r="F50" s="85" t="n">
        <f aca="false">Gov_Map!$K$544</f>
        <v>0</v>
      </c>
      <c r="G50" s="85" t="n">
        <f aca="false">Gov_Map!$L$544</f>
        <v>0</v>
      </c>
      <c r="H50" s="85" t="str">
        <f aca="false">Gov_Map!$P$544</f>
        <v>高</v>
      </c>
      <c r="I50" s="85" t="str">
        <f aca="false">Gov_Map!$T$544</f>
        <v>—</v>
      </c>
      <c r="J50" s="80" t="s">
        <v>2778</v>
      </c>
      <c r="K50" s="53"/>
      <c r="L50" s="85" t="str">
        <f aca="false">IF(ISNUMBER(Gov_Map!$AF$544),INDEX(IDX_SrcDate,Gov_Map!$AF$544),"—")</f>
        <v>—</v>
      </c>
      <c r="M50" s="86" t="s">
        <v>2779</v>
      </c>
      <c r="N50" s="104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85" t="str">
        <f aca="false">Gov_Map!$A$580</f>
        <v>GM576</v>
      </c>
      <c r="B51" s="85" t="str">
        <f aca="false">Gov_Map!$C$580</f>
        <v>Alloc_In</v>
      </c>
      <c r="C51" s="85" t="str">
        <f aca="false">Gov_Map!$D$580</f>
        <v>C6</v>
      </c>
      <c r="D51" s="202" t="str">
        <f aca="false">Gov_Map!$E$580</f>
        <v>家族計畫數 N_major（個／年）</v>
      </c>
      <c r="E51" s="85" t="str">
        <f aca="false">Gov_Map!$F$580</f>
        <v>Assumed</v>
      </c>
      <c r="F51" s="101" t="n">
        <f aca="false">Gov_Map!$K$580</f>
        <v>1</v>
      </c>
      <c r="G51" s="101" t="n">
        <f aca="false">Gov_Map!$L$580</f>
        <v>2</v>
      </c>
      <c r="H51" s="85" t="str">
        <f aca="false">Gov_Map!$P$580</f>
        <v>高</v>
      </c>
      <c r="I51" s="85" t="str">
        <f aca="false">Gov_Map!$T$580</f>
        <v>—</v>
      </c>
      <c r="J51" s="80" t="s">
        <v>2780</v>
      </c>
      <c r="K51" s="53"/>
      <c r="L51" s="85" t="str">
        <f aca="false">IF(ISNUMBER(Gov_Map!$AF$580),INDEX(IDX_SrcDate,Gov_Map!$AF$580),"—")</f>
        <v>—</v>
      </c>
      <c r="M51" s="86" t="s">
        <v>2781</v>
      </c>
      <c r="N51" s="104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85" t="str">
        <f aca="false">Gov_Map!$A$582</f>
        <v>GM578</v>
      </c>
      <c r="B52" s="85" t="str">
        <f aca="false">Gov_Map!$C$582</f>
        <v>Alloc_In</v>
      </c>
      <c r="C52" s="85" t="str">
        <f aca="false">Gov_Map!$D$582</f>
        <v>C7</v>
      </c>
      <c r="D52" s="202" t="str">
        <f aca="false">Gov_Map!$E$582</f>
        <v>改版計畫數 N_refresh（個／年）</v>
      </c>
      <c r="E52" s="85" t="str">
        <f aca="false">Gov_Map!$F$582</f>
        <v>Assumed</v>
      </c>
      <c r="F52" s="101" t="n">
        <f aca="false">Gov_Map!$K$582</f>
        <v>0</v>
      </c>
      <c r="G52" s="101" t="n">
        <f aca="false">Gov_Map!$L$582</f>
        <v>6</v>
      </c>
      <c r="H52" s="85" t="str">
        <f aca="false">Gov_Map!$P$582</f>
        <v>高</v>
      </c>
      <c r="I52" s="85" t="str">
        <f aca="false">Gov_Map!$T$582</f>
        <v>—</v>
      </c>
      <c r="J52" s="80" t="s">
        <v>2780</v>
      </c>
      <c r="K52" s="53"/>
      <c r="L52" s="85" t="str">
        <f aca="false">IF(ISNUMBER(Gov_Map!$AF$582),INDEX(IDX_SrcDate,Gov_Map!$AF$582),"—")</f>
        <v>—</v>
      </c>
      <c r="M52" s="86" t="s">
        <v>2782</v>
      </c>
      <c r="N52" s="104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39.55" hidden="false" customHeight="false" outlineLevel="0" collapsed="false">
      <c r="A53" s="85" t="str">
        <f aca="false">Gov_Map!$A$584</f>
        <v>GM580</v>
      </c>
      <c r="B53" s="85" t="str">
        <f aca="false">Gov_Map!$C$584</f>
        <v>Alloc_In</v>
      </c>
      <c r="C53" s="85" t="str">
        <f aca="false">Gov_Map!$D$584</f>
        <v>C8</v>
      </c>
      <c r="D53" s="202" t="str">
        <f aca="false">Gov_Map!$E$584</f>
        <v>計畫規模倍數 k（相對 Block 3）</v>
      </c>
      <c r="E53" s="85" t="str">
        <f aca="false">Gov_Map!$F$584</f>
        <v>Assumed</v>
      </c>
      <c r="F53" s="101" t="n">
        <f aca="false">Gov_Map!$K$584</f>
        <v>0.5</v>
      </c>
      <c r="G53" s="101" t="n">
        <f aca="false">Gov_Map!$L$584</f>
        <v>7</v>
      </c>
      <c r="H53" s="85" t="str">
        <f aca="false">Gov_Map!$P$584</f>
        <v>高</v>
      </c>
      <c r="I53" s="85" t="str">
        <f aca="false">Gov_Map!$T$584</f>
        <v>—</v>
      </c>
      <c r="J53" s="80" t="s">
        <v>2780</v>
      </c>
      <c r="K53" s="53"/>
      <c r="L53" s="85" t="str">
        <f aca="false">IF(ISNUMBER(Gov_Map!$AF$584),INDEX(IDX_SrcDate,Gov_Map!$AF$584),"—")</f>
        <v>—</v>
      </c>
      <c r="M53" s="86" t="s">
        <v>2783</v>
      </c>
      <c r="N53" s="104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39.55" hidden="false" customHeight="false" outlineLevel="0" collapsed="false">
      <c r="A54" s="85" t="str">
        <f aca="false">Gov_Map!$A$590</f>
        <v>GM586</v>
      </c>
      <c r="B54" s="85" t="str">
        <f aca="false">Gov_Map!$C$590</f>
        <v>Alloc_In</v>
      </c>
      <c r="C54" s="85" t="str">
        <f aca="false">Gov_Map!$D$590</f>
        <v>C15</v>
      </c>
      <c r="D54" s="202" t="str">
        <f aca="false">Gov_Map!$E$590</f>
        <v>每則提示 token 數</v>
      </c>
      <c r="E54" s="85" t="str">
        <f aca="false">Gov_Map!$F$590</f>
        <v>Assumed</v>
      </c>
      <c r="F54" s="55" t="n">
        <f aca="false">Gov_Map!$K$590</f>
        <v>2000</v>
      </c>
      <c r="G54" s="55" t="n">
        <f aca="false">Gov_Map!$L$590</f>
        <v>6400</v>
      </c>
      <c r="H54" s="85" t="str">
        <f aca="false">Gov_Map!$P$590</f>
        <v>高</v>
      </c>
      <c r="I54" s="85" t="n">
        <f aca="false">Gov_Map!$T$590</f>
        <v>2</v>
      </c>
      <c r="J54" s="80" t="s">
        <v>2784</v>
      </c>
      <c r="K54" s="53"/>
      <c r="L54" s="85" t="str">
        <f aca="false">IF(ISNUMBER(Gov_Map!$AF$590),INDEX(IDX_SrcDate,Gov_Map!$AF$590),"—")</f>
        <v>—</v>
      </c>
      <c r="M54" s="86" t="s">
        <v>2785</v>
      </c>
      <c r="N54" s="104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6" customFormat="false" ht="15" hidden="false" customHeight="false" outlineLevel="0" collapsed="false">
      <c r="A56" s="10" t="s">
        <v>2786</v>
      </c>
      <c r="J56" s="82" t="n">
        <f aca="false">SUMPRODUCT((Gov_Map!$P$5:$P$700="高")*((Gov_Map!$F$5:$F$700="Assumed")+(Gov_Map!$F$5:$F$700="Analogy")))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0" t="s">
        <v>2787</v>
      </c>
    </row>
    <row r="2" customFormat="false" ht="15" hidden="false" customHeight="false" outlineLevel="0" collapsed="false">
      <c r="A2" s="66" t="s">
        <v>2788</v>
      </c>
    </row>
    <row r="4" customFormat="false" ht="15" hidden="false" customHeight="false" outlineLevel="0" collapsed="false">
      <c r="A4" s="10" t="s">
        <v>2789</v>
      </c>
    </row>
    <row r="5" customFormat="false" ht="15" hidden="false" customHeight="false" outlineLevel="0" collapsed="false">
      <c r="A5" s="54" t="s">
        <v>2790</v>
      </c>
      <c r="B5" s="54" t="s">
        <v>79</v>
      </c>
      <c r="C5" s="58" t="n">
        <v>0.6</v>
      </c>
      <c r="F5" s="51" t="s">
        <v>2791</v>
      </c>
    </row>
    <row r="6" customFormat="false" ht="15" hidden="false" customHeight="false" outlineLevel="0" collapsed="false">
      <c r="A6" s="54" t="s">
        <v>2792</v>
      </c>
      <c r="B6" s="54" t="s">
        <v>2793</v>
      </c>
      <c r="C6" s="59" t="n">
        <v>10</v>
      </c>
      <c r="F6" s="51" t="s">
        <v>2794</v>
      </c>
    </row>
    <row r="7" customFormat="false" ht="15" hidden="false" customHeight="false" outlineLevel="0" collapsed="false">
      <c r="A7" s="54" t="s">
        <v>2795</v>
      </c>
      <c r="B7" s="54" t="s">
        <v>2793</v>
      </c>
      <c r="C7" s="59" t="n">
        <v>40</v>
      </c>
      <c r="F7" s="51" t="s">
        <v>2796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0" t="s">
        <v>2797</v>
      </c>
    </row>
    <row r="2" customFormat="false" ht="15" hidden="false" customHeight="false" outlineLevel="0" collapsed="false">
      <c r="A2" s="66" t="s">
        <v>2798</v>
      </c>
    </row>
    <row r="4" customFormat="false" ht="30" hidden="false" customHeight="true" outlineLevel="0" collapsed="false">
      <c r="A4" s="76" t="s">
        <v>2799</v>
      </c>
      <c r="B4" s="76" t="s">
        <v>2800</v>
      </c>
      <c r="C4" s="76" t="s">
        <v>2801</v>
      </c>
      <c r="D4" s="76" t="s">
        <v>2802</v>
      </c>
      <c r="E4" s="76" t="s">
        <v>2803</v>
      </c>
      <c r="F4" s="76" t="s">
        <v>2804</v>
      </c>
      <c r="G4" s="76" t="s">
        <v>2805</v>
      </c>
      <c r="H4" s="76" t="s">
        <v>2806</v>
      </c>
      <c r="I4" s="76" t="s">
        <v>2807</v>
      </c>
      <c r="J4" s="76" t="s">
        <v>2808</v>
      </c>
      <c r="K4" s="76" t="s">
        <v>67</v>
      </c>
      <c r="L4" s="76" t="s">
        <v>304</v>
      </c>
    </row>
    <row r="5" customFormat="false" ht="15" hidden="false" customHeight="false" outlineLevel="0" collapsed="false">
      <c r="A5" s="54" t="s">
        <v>2809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1" t="s">
        <v>80</v>
      </c>
      <c r="L5" s="51" t="s">
        <v>2810</v>
      </c>
    </row>
    <row r="6" customFormat="false" ht="15" hidden="false" customHeight="false" outlineLevel="0" collapsed="false">
      <c r="A6" s="54" t="s">
        <v>2811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1" t="s">
        <v>80</v>
      </c>
      <c r="L6" s="66" t="s">
        <v>2812</v>
      </c>
    </row>
    <row r="7" customFormat="false" ht="15" hidden="false" customHeight="false" outlineLevel="0" collapsed="false">
      <c r="A7" s="54" t="s">
        <v>2813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1" t="s">
        <v>80</v>
      </c>
      <c r="L7" s="51" t="s">
        <v>2814</v>
      </c>
    </row>
    <row r="8" customFormat="false" ht="15" hidden="false" customHeight="false" outlineLevel="0" collapsed="false">
      <c r="A8" s="54" t="s">
        <v>2815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1" t="s">
        <v>80</v>
      </c>
      <c r="L8" s="66" t="s">
        <v>2816</v>
      </c>
    </row>
    <row r="9" customFormat="false" ht="15" hidden="false" customHeight="false" outlineLevel="0" collapsed="false">
      <c r="A9" s="54" t="s">
        <v>2817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1" t="s">
        <v>80</v>
      </c>
      <c r="L9" s="66" t="s">
        <v>2818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2819</v>
      </c>
    </row>
    <row r="2" customFormat="false" ht="15" hidden="false" customHeight="true" outlineLevel="0" collapsed="false">
      <c r="A2" s="11" t="s">
        <v>2820</v>
      </c>
    </row>
    <row r="4" customFormat="false" ht="30" hidden="false" customHeight="true" outlineLevel="0" collapsed="false">
      <c r="A4" s="20" t="s">
        <v>796</v>
      </c>
      <c r="C4" s="203" t="s">
        <v>65</v>
      </c>
      <c r="D4" s="203" t="s">
        <v>2821</v>
      </c>
      <c r="E4" s="203" t="s">
        <v>2822</v>
      </c>
      <c r="F4" s="203" t="s">
        <v>2823</v>
      </c>
      <c r="G4" s="203" t="s">
        <v>2824</v>
      </c>
      <c r="H4" s="203" t="s">
        <v>2825</v>
      </c>
      <c r="I4" s="203" t="s">
        <v>2826</v>
      </c>
      <c r="J4" s="203" t="s">
        <v>2827</v>
      </c>
      <c r="K4" s="203" t="s">
        <v>2828</v>
      </c>
      <c r="L4" s="203" t="s">
        <v>2829</v>
      </c>
      <c r="M4" s="203" t="s">
        <v>2830</v>
      </c>
      <c r="N4" s="204" t="s">
        <v>2831</v>
      </c>
      <c r="O4" s="204" t="s">
        <v>2832</v>
      </c>
      <c r="P4" s="204" t="s">
        <v>2833</v>
      </c>
      <c r="Q4" s="204" t="s">
        <v>2834</v>
      </c>
      <c r="R4" s="203" t="s">
        <v>2835</v>
      </c>
      <c r="S4" s="203" t="s">
        <v>2836</v>
      </c>
      <c r="T4" s="204" t="s">
        <v>2837</v>
      </c>
      <c r="U4" s="204" t="s">
        <v>2838</v>
      </c>
      <c r="V4" s="203" t="s">
        <v>2839</v>
      </c>
      <c r="W4" s="203" t="s">
        <v>2840</v>
      </c>
      <c r="X4" s="203" t="s">
        <v>2841</v>
      </c>
      <c r="Y4" s="203" t="s">
        <v>2842</v>
      </c>
    </row>
    <row r="6" customFormat="false" ht="15" hidden="false" customHeight="true" outlineLevel="0" collapsed="false">
      <c r="A6" s="25" t="s">
        <v>835</v>
      </c>
      <c r="B6" s="14"/>
      <c r="C6" s="14"/>
    </row>
    <row r="7" customFormat="false" ht="15" hidden="false" customHeight="true" outlineLevel="0" collapsed="false">
      <c r="A7" s="15" t="s">
        <v>2843</v>
      </c>
      <c r="B7" s="16" t="s">
        <v>837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78</v>
      </c>
      <c r="B8" s="16" t="s">
        <v>79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838</v>
      </c>
      <c r="B9" s="16" t="s">
        <v>837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709</v>
      </c>
      <c r="B10" s="16" t="s">
        <v>710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1930</v>
      </c>
      <c r="B11" s="21" t="s">
        <v>708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5" t="s">
        <v>157</v>
      </c>
      <c r="B12" s="21" t="s">
        <v>702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1932</v>
      </c>
      <c r="B13" s="21" t="s">
        <v>702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82</v>
      </c>
      <c r="B14" s="16" t="s">
        <v>83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20" t="s">
        <v>841</v>
      </c>
      <c r="B15" s="16" t="s">
        <v>837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2844</v>
      </c>
      <c r="B16" s="14"/>
      <c r="C16" s="14"/>
    </row>
    <row r="17" customFormat="false" ht="15" hidden="false" customHeight="true" outlineLevel="0" collapsed="false">
      <c r="A17" s="20" t="s">
        <v>843</v>
      </c>
      <c r="B17" s="16" t="s">
        <v>844</v>
      </c>
      <c r="C17" s="30" t="n">
        <f aca="false">Spec_Rack!F12</f>
        <v>8.4</v>
      </c>
      <c r="D17" s="30" t="n">
        <f aca="false">Spec_Rack!F11</f>
        <v>7.8</v>
      </c>
      <c r="E17" s="30" t="n">
        <f aca="false">Spec_Rack!F13</f>
        <v>9.1</v>
      </c>
      <c r="F17" s="30" t="n">
        <f aca="false">Spec_Rack!F12</f>
        <v>8.4</v>
      </c>
      <c r="G17" s="30" t="n">
        <f aca="false">Spec_Rack!F12</f>
        <v>8.4</v>
      </c>
      <c r="H17" s="30" t="n">
        <f aca="false">Spec_Rack!F12</f>
        <v>8.4</v>
      </c>
      <c r="I17" s="30" t="n">
        <f aca="false">Spec_Rack!F12</f>
        <v>8.4</v>
      </c>
      <c r="J17" s="30" t="n">
        <f aca="false">Spec_Rack!F12</f>
        <v>8.4</v>
      </c>
      <c r="K17" s="30" t="n">
        <f aca="false">Spec_Rack!F12</f>
        <v>8.4</v>
      </c>
      <c r="L17" s="30" t="n">
        <f aca="false">Spec_Rack!F12</f>
        <v>8.4</v>
      </c>
      <c r="M17" s="30" t="n">
        <f aca="false">Spec_Rack!F12</f>
        <v>8.4</v>
      </c>
      <c r="N17" s="30" t="n">
        <f aca="false">Spec_Rack!F12</f>
        <v>8.4</v>
      </c>
      <c r="O17" s="30" t="n">
        <f aca="false">Spec_Rack!F12</f>
        <v>8.4</v>
      </c>
      <c r="P17" s="30" t="n">
        <f aca="false">Spec_Rack!F12</f>
        <v>8.4</v>
      </c>
      <c r="Q17" s="30" t="n">
        <f aca="false">Spec_Rack!F12</f>
        <v>8.4</v>
      </c>
      <c r="R17" s="30" t="n">
        <f aca="false">Spec_Rack!F12</f>
        <v>8.4</v>
      </c>
      <c r="S17" s="30" t="n">
        <f aca="false">Spec_Rack!F12</f>
        <v>8.4</v>
      </c>
      <c r="T17" s="30" t="n">
        <f aca="false">Spec_Rack!F12</f>
        <v>8.4</v>
      </c>
      <c r="U17" s="30" t="n">
        <f aca="false">Spec_Rack!F12</f>
        <v>8.4</v>
      </c>
      <c r="V17" s="30" t="n">
        <f aca="false">Spec_Rack!F12</f>
        <v>8.4</v>
      </c>
      <c r="W17" s="30" t="n">
        <f aca="false">Spec_Rack!F12</f>
        <v>8.4</v>
      </c>
      <c r="X17" s="30" t="n">
        <f aca="false">Spec_Rack!F12</f>
        <v>8.4</v>
      </c>
      <c r="Y17" s="30" t="n">
        <f aca="false">Spec_Rack!F12</f>
        <v>8.4</v>
      </c>
    </row>
    <row r="18" customFormat="false" ht="15" hidden="false" customHeight="true" outlineLevel="0" collapsed="false">
      <c r="A18" s="20" t="s">
        <v>845</v>
      </c>
      <c r="B18" s="16" t="s">
        <v>846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5" t="s">
        <v>93</v>
      </c>
      <c r="B19" s="16" t="s">
        <v>79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847</v>
      </c>
      <c r="B20" s="16" t="s">
        <v>846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20" t="s">
        <v>848</v>
      </c>
      <c r="B21" s="16" t="s">
        <v>96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848</v>
      </c>
      <c r="B22" s="16" t="s">
        <v>846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5" t="s">
        <v>849</v>
      </c>
      <c r="B23" s="16" t="s">
        <v>846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20" t="s">
        <v>99</v>
      </c>
      <c r="B24" s="16" t="s">
        <v>846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20" t="s">
        <v>850</v>
      </c>
      <c r="B25" s="16" t="s">
        <v>846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20" t="s">
        <v>851</v>
      </c>
      <c r="B26" s="16" t="s">
        <v>846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20" t="s">
        <v>852</v>
      </c>
      <c r="B27" s="16" t="s">
        <v>846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20" t="s">
        <v>853</v>
      </c>
      <c r="B28" s="16" t="s">
        <v>846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20" t="s">
        <v>854</v>
      </c>
      <c r="B29" s="16" t="s">
        <v>79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109</v>
      </c>
      <c r="B30" s="16" t="s">
        <v>846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20" t="s">
        <v>855</v>
      </c>
      <c r="B31" s="16" t="s">
        <v>846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20" t="s">
        <v>2845</v>
      </c>
      <c r="B32" s="16" t="s">
        <v>846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20" t="s">
        <v>857</v>
      </c>
      <c r="B33" s="16" t="s">
        <v>858</v>
      </c>
      <c r="C33" s="31" t="n">
        <f aca="false">C32*1000000/C13</f>
        <v>172.261818580673</v>
      </c>
      <c r="D33" s="31" t="n">
        <f aca="false">D32*1000000/D13</f>
        <v>163.095151914007</v>
      </c>
      <c r="E33" s="31" t="n">
        <f aca="false">E32*1000000/E13</f>
        <v>182.956263025118</v>
      </c>
      <c r="F33" s="31" t="n">
        <f aca="false">F32*1000000/F13</f>
        <v>164.79740899698</v>
      </c>
      <c r="G33" s="31" t="n">
        <f aca="false">G32*1000000/G13</f>
        <v>172.826388888889</v>
      </c>
      <c r="H33" s="31" t="n">
        <f aca="false">H32*1000000/H13</f>
        <v>166.42848524734</v>
      </c>
      <c r="I33" s="31" t="n">
        <f aca="false">I32*1000000/I13</f>
        <v>178.095151914007</v>
      </c>
      <c r="J33" s="31" t="n">
        <f aca="false">J32*1000000/J13</f>
        <v>169.896731380937</v>
      </c>
      <c r="K33" s="31" t="n">
        <f aca="false">K32*1000000/K13</f>
        <v>175.809449380279</v>
      </c>
      <c r="L33" s="31" t="n">
        <f aca="false">L32*1000000/L13</f>
        <v>169.502550180981</v>
      </c>
      <c r="M33" s="31" t="n">
        <f aca="false">M32*1000000/M13</f>
        <v>176.203630580235</v>
      </c>
      <c r="N33" s="31" t="n">
        <f aca="false">N32*1000000/N13</f>
        <v>172.261818580673</v>
      </c>
      <c r="O33" s="31" t="n">
        <f aca="false">O32*1000000/O13</f>
        <v>172.261818580673</v>
      </c>
      <c r="P33" s="31" t="n">
        <f aca="false">P32*1000000/P13</f>
        <v>172.261818580673</v>
      </c>
      <c r="Q33" s="31" t="n">
        <f aca="false">Q32*1000000/Q13</f>
        <v>172.261818580673</v>
      </c>
      <c r="R33" s="31" t="n">
        <f aca="false">R32*1000000/R13</f>
        <v>172.261818580673</v>
      </c>
      <c r="S33" s="31" t="n">
        <f aca="false">S32*1000000/S13</f>
        <v>172.261818580673</v>
      </c>
      <c r="T33" s="31" t="n">
        <f aca="false">T32*1000000/T13</f>
        <v>172.261818580673</v>
      </c>
      <c r="U33" s="31" t="n">
        <f aca="false">U32*1000000/U13</f>
        <v>172.261818580673</v>
      </c>
      <c r="V33" s="31" t="n">
        <f aca="false">V32*1000000/V13</f>
        <v>172.261818580673</v>
      </c>
      <c r="W33" s="31" t="n">
        <f aca="false">W32*1000000/W13</f>
        <v>172.261818580673</v>
      </c>
      <c r="X33" s="31" t="n">
        <f aca="false">X32*1000000/X13</f>
        <v>170.881654055489</v>
      </c>
      <c r="Y33" s="31" t="n">
        <f aca="false">Y32*1000000/Y13</f>
        <v>174.233803462906</v>
      </c>
    </row>
    <row r="34" customFormat="false" ht="15" hidden="false" customHeight="true" outlineLevel="0" collapsed="false">
      <c r="A34" s="20" t="s">
        <v>859</v>
      </c>
      <c r="B34" s="16" t="s">
        <v>844</v>
      </c>
      <c r="C34" s="31" t="n">
        <f aca="false">C32*1000/C7</f>
        <v>50.256352</v>
      </c>
      <c r="D34" s="31" t="n">
        <f aca="false">D32*1000/D7</f>
        <v>47.582032</v>
      </c>
      <c r="E34" s="31" t="n">
        <f aca="false">E32*1000/E7</f>
        <v>53.376392</v>
      </c>
      <c r="F34" s="31" t="n">
        <f aca="false">F32*1000/F7</f>
        <v>58.057468</v>
      </c>
      <c r="G34" s="31" t="n">
        <f aca="false">G32*1000/G7</f>
        <v>49.774</v>
      </c>
      <c r="H34" s="31" t="n">
        <f aca="false">H32*1000/H7</f>
        <v>48.554512</v>
      </c>
      <c r="I34" s="31" t="n">
        <f aca="false">I32*1000/I7</f>
        <v>51.958192</v>
      </c>
      <c r="J34" s="31" t="n">
        <f aca="false">J32*1000/J7</f>
        <v>49.566352</v>
      </c>
      <c r="K34" s="31" t="n">
        <f aca="false">K32*1000/K7</f>
        <v>51.291352</v>
      </c>
      <c r="L34" s="31" t="n">
        <f aca="false">L32*1000/L7</f>
        <v>49.451352</v>
      </c>
      <c r="M34" s="31" t="n">
        <f aca="false">M32*1000/M7</f>
        <v>51.406352</v>
      </c>
      <c r="N34" s="31" t="n">
        <f aca="false">N32*1000/N7</f>
        <v>50.256352</v>
      </c>
      <c r="O34" s="31" t="n">
        <f aca="false">O32*1000/O7</f>
        <v>50.256352</v>
      </c>
      <c r="P34" s="31" t="n">
        <f aca="false">P32*1000/P7</f>
        <v>50.256352</v>
      </c>
      <c r="Q34" s="31" t="n">
        <f aca="false">Q32*1000/Q7</f>
        <v>50.256352</v>
      </c>
      <c r="R34" s="31" t="n">
        <f aca="false">R32*1000/R7</f>
        <v>50.256352</v>
      </c>
      <c r="S34" s="31" t="n">
        <f aca="false">S32*1000/S7</f>
        <v>50.256352</v>
      </c>
      <c r="T34" s="31" t="n">
        <f aca="false">T32*1000/T7</f>
        <v>50.256352</v>
      </c>
      <c r="U34" s="31" t="n">
        <f aca="false">U32*1000/U7</f>
        <v>50.256352</v>
      </c>
      <c r="V34" s="31" t="n">
        <f aca="false">V32*1000/V7</f>
        <v>50.256352</v>
      </c>
      <c r="W34" s="31" t="n">
        <f aca="false">W32*1000/W7</f>
        <v>50.256352</v>
      </c>
      <c r="X34" s="31" t="n">
        <f aca="false">X32*1000/X7</f>
        <v>51.49006</v>
      </c>
      <c r="Y34" s="31" t="n">
        <f aca="false">Y32*1000/Y7</f>
        <v>48.623776</v>
      </c>
    </row>
    <row r="35" customFormat="false" ht="15" hidden="false" customHeight="true" outlineLevel="0" collapsed="false">
      <c r="A35" s="20" t="s">
        <v>860</v>
      </c>
      <c r="B35" s="16" t="s">
        <v>844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5" t="s">
        <v>2846</v>
      </c>
      <c r="B36" s="14"/>
      <c r="C36" s="14"/>
    </row>
    <row r="37" customFormat="false" ht="15" hidden="false" customHeight="true" outlineLevel="0" collapsed="false">
      <c r="A37" s="15" t="s">
        <v>862</v>
      </c>
      <c r="B37" s="21" t="s">
        <v>114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5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5" t="s">
        <v>863</v>
      </c>
      <c r="B38" s="16" t="s">
        <v>846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20" t="s">
        <v>864</v>
      </c>
      <c r="B39" s="16" t="s">
        <v>846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86</v>
      </c>
      <c r="B40" s="16" t="s">
        <v>79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88</v>
      </c>
      <c r="B41" s="16" t="s">
        <v>89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20" t="s">
        <v>865</v>
      </c>
      <c r="B42" s="16" t="s">
        <v>846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5" t="s">
        <v>125</v>
      </c>
      <c r="B43" s="16" t="s">
        <v>846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20" t="s">
        <v>128</v>
      </c>
      <c r="B44" s="16" t="s">
        <v>846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20" t="s">
        <v>866</v>
      </c>
      <c r="B45" s="16" t="s">
        <v>846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139</v>
      </c>
      <c r="B46" s="16" t="s">
        <v>846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20" t="s">
        <v>867</v>
      </c>
      <c r="B47" s="16" t="s">
        <v>846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20" t="s">
        <v>868</v>
      </c>
      <c r="B48" s="16" t="s">
        <v>846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5" t="s">
        <v>2847</v>
      </c>
      <c r="B49" s="14"/>
      <c r="C49" s="14"/>
    </row>
    <row r="50" customFormat="false" ht="15" hidden="false" customHeight="true" outlineLevel="0" collapsed="false">
      <c r="A50" s="15" t="s">
        <v>870</v>
      </c>
      <c r="B50" s="16" t="s">
        <v>79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871</v>
      </c>
      <c r="B51" s="16" t="s">
        <v>83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5" t="s">
        <v>872</v>
      </c>
      <c r="B52" s="16" t="s">
        <v>846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20" t="s">
        <v>873</v>
      </c>
      <c r="B53" s="16" t="s">
        <v>846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874</v>
      </c>
      <c r="B54" s="16" t="s">
        <v>846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5" t="s">
        <v>875</v>
      </c>
      <c r="B55" s="14"/>
      <c r="C55" s="14"/>
    </row>
    <row r="56" customFormat="false" ht="15" hidden="false" customHeight="true" outlineLevel="0" collapsed="false">
      <c r="A56" s="20" t="s">
        <v>876</v>
      </c>
      <c r="B56" s="16" t="s">
        <v>819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20" t="s">
        <v>877</v>
      </c>
      <c r="B57" s="16" t="s">
        <v>819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20" t="s">
        <v>878</v>
      </c>
      <c r="B58" s="16" t="s">
        <v>879</v>
      </c>
      <c r="C58" s="17" t="n">
        <f aca="false">C54*1000000000/(C11*8760)</f>
        <v>359.538774929064</v>
      </c>
      <c r="D58" s="17" t="n">
        <f aca="false">D54*1000000000/(D11*8760)</f>
        <v>339.602602435986</v>
      </c>
      <c r="E58" s="17" t="n">
        <f aca="false">E54*1000000000/(E11*8760)</f>
        <v>382.797642837654</v>
      </c>
      <c r="F58" s="17" t="n">
        <f aca="false">F54*1000000000/(F11*8760)</f>
        <v>345.90111129158</v>
      </c>
      <c r="G58" s="17" t="n">
        <f aca="false">G54*1000000000/(G11*8760)</f>
        <v>360.570259050724</v>
      </c>
      <c r="H58" s="17" t="n">
        <f aca="false">H54*1000000000/(H11*8760)</f>
        <v>346.852119706196</v>
      </c>
      <c r="I58" s="17" t="n">
        <f aca="false">I54*1000000000/(I11*8760)</f>
        <v>372.225430151931</v>
      </c>
      <c r="J58" s="17" t="n">
        <f aca="false">J54*1000000000/(J11*8760)</f>
        <v>356.99071586994</v>
      </c>
      <c r="K58" s="17" t="n">
        <f aca="false">K54*1000000000/(K11*8760)</f>
        <v>363.36086351775</v>
      </c>
      <c r="L58" s="17" t="n">
        <f aca="false">L54*1000000000/(L11*8760)</f>
        <v>356.307944730157</v>
      </c>
      <c r="M58" s="17" t="n">
        <f aca="false">M54*1000000000/(M11*8760)</f>
        <v>364.154246641788</v>
      </c>
      <c r="N58" s="17" t="n">
        <f aca="false">N54*1000000000/(N11*8760)</f>
        <v>333.911304036212</v>
      </c>
      <c r="O58" s="17" t="n">
        <f aca="false">O54*1000000000/(O11*8760)</f>
        <v>450.459906770806</v>
      </c>
      <c r="P58" s="17" t="n">
        <f aca="false">P54*1000000000/(P11*8760)</f>
        <v>339.801074366408</v>
      </c>
      <c r="Q58" s="17" t="n">
        <f aca="false">Q54*1000000000/(Q11*8760)</f>
        <v>390.292761272921</v>
      </c>
      <c r="R58" s="17" t="n">
        <f aca="false">R54*1000000000/(R11*8760)</f>
        <v>354.80037413933</v>
      </c>
      <c r="S58" s="17" t="n">
        <f aca="false">S54*1000000000/(S11*8760)</f>
        <v>364.277175718797</v>
      </c>
      <c r="T58" s="17" t="n">
        <f aca="false">T54*1000000000/(T11*8760)</f>
        <v>357.959307999153</v>
      </c>
      <c r="U58" s="17" t="n">
        <f aca="false">U54*1000000000/(U11*8760)</f>
        <v>361.118241858975</v>
      </c>
      <c r="V58" s="17" t="n">
        <f aca="false">V54*1000000000/(V11*8760)</f>
        <v>357.169574534197</v>
      </c>
      <c r="W58" s="17" t="n">
        <f aca="false">W54*1000000000/(W11*8760)</f>
        <v>361.90797532393</v>
      </c>
      <c r="X58" s="17" t="n">
        <f aca="false">X54*1000000000/(X11*8760)</f>
        <v>357.017179704711</v>
      </c>
      <c r="Y58" s="17" t="n">
        <f aca="false">Y54*1000000000/(Y11*8760)</f>
        <v>363.141640798165</v>
      </c>
    </row>
    <row r="59" customFormat="false" ht="15" hidden="false" customHeight="true" outlineLevel="0" collapsed="false">
      <c r="A59" s="20" t="s">
        <v>880</v>
      </c>
      <c r="B59" s="16" t="s">
        <v>881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20" t="s">
        <v>882</v>
      </c>
      <c r="B60" s="16" t="s">
        <v>79</v>
      </c>
      <c r="C60" s="22" t="n">
        <f aca="false">(C52+C53)/C54</f>
        <v>0.793916543741441</v>
      </c>
      <c r="D60" s="22" t="n">
        <f aca="false">(D52+D53)/D54</f>
        <v>0.789583452593095</v>
      </c>
      <c r="E60" s="22" t="n">
        <f aca="false">(E52+E53)/E54</f>
        <v>0.798401377702989</v>
      </c>
      <c r="F60" s="22" t="n">
        <f aca="false">(F52+F53)/F54</f>
        <v>0.804193262265861</v>
      </c>
      <c r="G60" s="22" t="n">
        <f aca="false">(G52+G53)/G54</f>
        <v>0.793170886758722</v>
      </c>
      <c r="H60" s="22" t="n">
        <f aca="false">(H52+H53)/H54</f>
        <v>0.791216754662159</v>
      </c>
      <c r="I60" s="22" t="n">
        <f aca="false">(I52+I53)/I54</f>
        <v>0.796432297607387</v>
      </c>
      <c r="J60" s="22" t="n">
        <f aca="false">(J52+J53)/J54</f>
        <v>0.7938069162524</v>
      </c>
      <c r="K60" s="22" t="n">
        <f aca="false">(K52+K53)/K54</f>
        <v>0.794078102124803</v>
      </c>
      <c r="L60" s="22" t="n">
        <f aca="false">(L52+L53)/L54</f>
        <v>0.793639121650252</v>
      </c>
      <c r="M60" s="22" t="n">
        <f aca="false">(M52+M53)/M54</f>
        <v>0.794304321707374</v>
      </c>
      <c r="N60" s="22" t="n">
        <f aca="false">(N52+N53)/N54</f>
        <v>0.778099775297472</v>
      </c>
      <c r="O60" s="22" t="n">
        <f aca="false">(O52+O53)/O54</f>
        <v>0.835512567749899</v>
      </c>
      <c r="P60" s="22" t="n">
        <f aca="false">(P52+P53)/P54</f>
        <v>0.781945970787447</v>
      </c>
      <c r="Q60" s="22" t="n">
        <f aca="false">(Q52+Q53)/Q54</f>
        <v>0.810155348116904</v>
      </c>
      <c r="R60" s="22" t="n">
        <f aca="false">(R52+R53)/R54</f>
        <v>0.804519392701148</v>
      </c>
      <c r="S60" s="22" t="n">
        <f aca="false">(S52+S53)/S54</f>
        <v>0.783589531706103</v>
      </c>
      <c r="T60" s="22" t="n">
        <f aca="false">(T52+T53)/T54</f>
        <v>0.797419637243767</v>
      </c>
      <c r="U60" s="22" t="n">
        <f aca="false">(U52+U53)/U54</f>
        <v>0.790444094054342</v>
      </c>
      <c r="V60" s="22" t="n">
        <f aca="false">(V52+V53)/V54</f>
        <v>0.799182802468479</v>
      </c>
      <c r="W60" s="22" t="n">
        <f aca="false">(W52+W53)/W54</f>
        <v>0.788719235262013</v>
      </c>
      <c r="X60" s="22" t="n">
        <f aca="false">(X52+X53)/X54</f>
        <v>0.795757539137829</v>
      </c>
      <c r="Y60" s="22" t="n">
        <f aca="false">(Y52+Y53)/Y54</f>
        <v>0.79133048439756</v>
      </c>
    </row>
    <row r="61" customFormat="false" ht="15" hidden="false" customHeight="true" outlineLevel="0" collapsed="false">
      <c r="A61" s="20" t="s">
        <v>883</v>
      </c>
      <c r="B61" s="16" t="s">
        <v>79</v>
      </c>
      <c r="C61" s="22" t="n">
        <f aca="false">C42/C54</f>
        <v>0.0527164369480688</v>
      </c>
      <c r="D61" s="22" t="n">
        <f aca="false">D42/D54</f>
        <v>0.0558111245996902</v>
      </c>
      <c r="E61" s="22" t="n">
        <f aca="false">E42/E54</f>
        <v>0.0495133747910045</v>
      </c>
      <c r="F61" s="22" t="n">
        <f aca="false">F42/F54</f>
        <v>0.0453768189183727</v>
      </c>
      <c r="G61" s="22" t="n">
        <f aca="false">G42/G54</f>
        <v>0.0532489841246141</v>
      </c>
      <c r="H61" s="22" t="n">
        <f aca="false">H42/H54</f>
        <v>0.0546446225411241</v>
      </c>
      <c r="I61" s="22" t="n">
        <f aca="false">I42/I54</f>
        <v>0.0509196890475688</v>
      </c>
      <c r="J61" s="22" t="n">
        <f aca="false">J42/J54</f>
        <v>0.0530927061023041</v>
      </c>
      <c r="K61" s="22" t="n">
        <f aca="false">K42/K54</f>
        <v>0.0521619278846964</v>
      </c>
      <c r="L61" s="22" t="n">
        <f aca="false">L42/L54</f>
        <v>0.0531944444104047</v>
      </c>
      <c r="M61" s="22" t="n">
        <f aca="false">M42/M54</f>
        <v>0.0520482826541858</v>
      </c>
      <c r="N61" s="22" t="n">
        <f aca="false">N42/N54</f>
        <v>0.0567623884840938</v>
      </c>
      <c r="O61" s="22" t="n">
        <f aca="false">O42/O54</f>
        <v>0.0420761157076238</v>
      </c>
      <c r="P61" s="22" t="n">
        <f aca="false">P42/P54</f>
        <v>0.0557785262871069</v>
      </c>
      <c r="Q61" s="22" t="n">
        <f aca="false">Q42/Q54</f>
        <v>0.048562528029261</v>
      </c>
      <c r="R61" s="22" t="n">
        <f aca="false">R42/R54</f>
        <v>0.0400653533798645</v>
      </c>
      <c r="S61" s="22" t="n">
        <f aca="false">S42/S54</f>
        <v>0.0650383980328109</v>
      </c>
      <c r="T61" s="22" t="n">
        <f aca="false">T42/T54</f>
        <v>0.048536623690936</v>
      </c>
      <c r="U61" s="22" t="n">
        <f aca="false">U42/U54</f>
        <v>0.0568596866864003</v>
      </c>
      <c r="V61" s="22" t="n">
        <f aca="false">V42/V54</f>
        <v>0.0464328541581284</v>
      </c>
      <c r="W61" s="22" t="n">
        <f aca="false">W42/W54</f>
        <v>0.0589177498360332</v>
      </c>
      <c r="X61" s="22" t="n">
        <f aca="false">X42/X54</f>
        <v>0.0514016006049486</v>
      </c>
      <c r="Y61" s="22" t="n">
        <f aca="false">Y42/Y54</f>
        <v>0.0545633969228026</v>
      </c>
    </row>
    <row r="64" customFormat="false" ht="15" hidden="false" customHeight="true" outlineLevel="0" collapsed="false">
      <c r="A64" s="13" t="s">
        <v>2848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28" t="s">
        <v>2849</v>
      </c>
      <c r="B65" s="28"/>
      <c r="C65" s="28" t="s">
        <v>2850</v>
      </c>
      <c r="D65" s="28" t="s">
        <v>2851</v>
      </c>
      <c r="E65" s="28" t="s">
        <v>2852</v>
      </c>
      <c r="F65" s="28" t="s">
        <v>2853</v>
      </c>
      <c r="G65" s="28" t="s">
        <v>2854</v>
      </c>
      <c r="H65" s="28" t="s">
        <v>2855</v>
      </c>
      <c r="I65" s="206" t="s">
        <v>2856</v>
      </c>
      <c r="J65" s="206" t="s">
        <v>2857</v>
      </c>
    </row>
    <row r="66" customFormat="false" ht="15" hidden="false" customHeight="true" outlineLevel="0" collapsed="false">
      <c r="A66" s="20" t="s">
        <v>65</v>
      </c>
      <c r="C66" s="31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20" t="s">
        <v>2858</v>
      </c>
      <c r="C67" s="31" t="n">
        <f aca="false">D32</f>
        <v>47.582032</v>
      </c>
      <c r="D67" s="31" t="n">
        <f aca="false">E32</f>
        <v>53.376392</v>
      </c>
      <c r="E67" s="207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20" t="s">
        <v>2859</v>
      </c>
      <c r="C68" s="31" t="n">
        <f aca="false">F32</f>
        <v>58.057468</v>
      </c>
      <c r="D68" s="31" t="n">
        <f aca="false">G32</f>
        <v>49.774</v>
      </c>
      <c r="E68" s="207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20" t="s">
        <v>2860</v>
      </c>
      <c r="C69" s="31" t="n">
        <f aca="false">H32</f>
        <v>48.554512</v>
      </c>
      <c r="D69" s="31" t="n">
        <f aca="false">I32</f>
        <v>51.958192</v>
      </c>
      <c r="E69" s="207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20" t="s">
        <v>2861</v>
      </c>
      <c r="C70" s="31" t="n">
        <f aca="false">J32</f>
        <v>49.566352</v>
      </c>
      <c r="D70" s="31" t="n">
        <f aca="false">K32</f>
        <v>51.291352</v>
      </c>
      <c r="E70" s="207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20" t="s">
        <v>2862</v>
      </c>
      <c r="C71" s="31" t="n">
        <f aca="false">L32</f>
        <v>49.451352</v>
      </c>
      <c r="D71" s="31" t="n">
        <f aca="false">M32</f>
        <v>51.406352</v>
      </c>
      <c r="E71" s="207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5" t="s">
        <v>2863</v>
      </c>
      <c r="C72" s="31" t="n">
        <f aca="false">N32</f>
        <v>50.256352</v>
      </c>
      <c r="D72" s="31" t="n">
        <f aca="false">O32</f>
        <v>50.256352</v>
      </c>
      <c r="E72" s="207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5" t="s">
        <v>870</v>
      </c>
      <c r="C73" s="31" t="n">
        <f aca="false">P32</f>
        <v>50.256352</v>
      </c>
      <c r="D73" s="31" t="n">
        <f aca="false">Q32</f>
        <v>50.256352</v>
      </c>
      <c r="E73" s="207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20" t="s">
        <v>88</v>
      </c>
      <c r="C74" s="31" t="n">
        <f aca="false">R32</f>
        <v>50.256352</v>
      </c>
      <c r="D74" s="31" t="n">
        <f aca="false">S32</f>
        <v>50.256352</v>
      </c>
      <c r="E74" s="207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5" t="s">
        <v>82</v>
      </c>
      <c r="C75" s="31" t="n">
        <f aca="false">T32</f>
        <v>50.256352</v>
      </c>
      <c r="D75" s="31" t="n">
        <f aca="false">U32</f>
        <v>50.256352</v>
      </c>
      <c r="E75" s="207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20" t="s">
        <v>2864</v>
      </c>
      <c r="C76" s="31" t="n">
        <f aca="false">V32</f>
        <v>50.256352</v>
      </c>
      <c r="D76" s="31" t="n">
        <f aca="false">W32</f>
        <v>50.256352</v>
      </c>
      <c r="E76" s="207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20" t="s">
        <v>2865</v>
      </c>
      <c r="C77" s="31" t="n">
        <f aca="false">X32</f>
        <v>51.49006</v>
      </c>
      <c r="D77" s="31" t="n">
        <f aca="false">Y32</f>
        <v>48.623776</v>
      </c>
      <c r="E77" s="207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2866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336</v>
      </c>
      <c r="B3" s="12" t="s">
        <v>2867</v>
      </c>
      <c r="C3" s="12" t="s">
        <v>2868</v>
      </c>
      <c r="D3" s="12" t="s">
        <v>63</v>
      </c>
      <c r="E3" s="12" t="s">
        <v>508</v>
      </c>
      <c r="F3" s="12" t="s">
        <v>430</v>
      </c>
    </row>
    <row r="4" customFormat="false" ht="15" hidden="false" customHeight="true" outlineLevel="0" collapsed="false">
      <c r="A4" s="15" t="s">
        <v>2869</v>
      </c>
      <c r="B4" s="170" t="n">
        <f aca="false">(DC_Cost!M33)/CTL_GW</f>
        <v>50.256352</v>
      </c>
      <c r="C4" s="208" t="str">
        <f aca="false">TEXT(SRC_DC_010_Lo,"0")&amp;"–"&amp;TEXT(SRC_DC_010_Hi,"0")</f>
        <v>50–60</v>
      </c>
      <c r="D4" s="16" t="s">
        <v>2295</v>
      </c>
      <c r="E4" s="20" t="str">
        <f aca="false">IF(AND(B4&gt;=SRC_DC_010_Lo,B4&lt;=SRC_DC_010_Hi),"落在區間",IF(B4&lt;SRC_DC_010_Lo,"低於參照","高於參照"))</f>
        <v>落在區間</v>
      </c>
      <c r="F4" s="19" t="s">
        <v>2870</v>
      </c>
    </row>
    <row r="5" customFormat="false" ht="15" hidden="false" customHeight="true" outlineLevel="0" collapsed="false">
      <c r="A5" s="15" t="s">
        <v>2871</v>
      </c>
      <c r="B5" s="170" t="n">
        <f aca="false">(DC_Cost!M19)/CTL_GW</f>
        <v>34.0368</v>
      </c>
      <c r="C5" s="170" t="n">
        <f aca="false">SRC_DC_011</f>
        <v>35</v>
      </c>
      <c r="D5" s="16" t="s">
        <v>2295</v>
      </c>
      <c r="E5" s="20" t="str">
        <f aca="false">IF(ABS(B5-C5)/C5&lt;=0.2,"±20% 內","差距 &gt;20%")</f>
        <v>±20% 內</v>
      </c>
      <c r="F5" s="19" t="s">
        <v>2872</v>
      </c>
    </row>
    <row r="6" customFormat="false" ht="15" hidden="false" customHeight="true" outlineLevel="0" collapsed="false">
      <c r="A6" s="20" t="s">
        <v>860</v>
      </c>
      <c r="B6" s="170" t="n">
        <f aca="false">DC_Cost!M36</f>
        <v>12.67</v>
      </c>
      <c r="C6" s="208" t="str">
        <f aca="false">TEXT(SRC_DC_003,"0.0")&amp;" × "&amp;TEXT(1+SRC_DC_004_Lo,"0.00")&amp;"–"&amp;TEXT(1+SRC_DC_004_Hi,"0.00")</f>
        <v>11.3 × 1.07–1.10</v>
      </c>
      <c r="D6" s="16" t="s">
        <v>100</v>
      </c>
      <c r="E6" s="20" t="str">
        <f aca="false">IF(AND(B6&gt;=SRC_DC_003*(1+SRC_DC_004_Lo)*0.9,B6&lt;=SRC_DC_003*(1+SRC_DC_004_Hi)*1.3),"合理區間","需檢查")</f>
        <v>合理區間</v>
      </c>
      <c r="F6" s="6" t="s">
        <v>2873</v>
      </c>
    </row>
    <row r="7" customFormat="false" ht="15" hidden="false" customHeight="true" outlineLevel="0" collapsed="false">
      <c r="A7" s="15" t="s">
        <v>2874</v>
      </c>
      <c r="B7" s="170" t="n">
        <f aca="false">DC_Cost!G58</f>
        <v>2.08645378736555</v>
      </c>
      <c r="C7" s="170" t="n">
        <f aca="false">SRC_DC_012</f>
        <v>2.21</v>
      </c>
      <c r="D7" s="16" t="s">
        <v>819</v>
      </c>
      <c r="E7" s="20" t="str">
        <f aca="false">IF(B7&gt;C7,"高於參照（參照假設未知）","低於參照")</f>
        <v>低於參照</v>
      </c>
      <c r="F7" s="6" t="s">
        <v>2875</v>
      </c>
    </row>
    <row r="8" customFormat="false" ht="15" hidden="false" customHeight="true" outlineLevel="0" collapsed="false">
      <c r="A8" s="15" t="s">
        <v>2876</v>
      </c>
      <c r="B8" s="170" t="n">
        <f aca="false">DC_Cost!J58</f>
        <v>2.98269559427618</v>
      </c>
      <c r="C8" s="170" t="n">
        <f aca="false">SRC_DC_013</f>
        <v>2.65</v>
      </c>
      <c r="D8" s="16" t="s">
        <v>819</v>
      </c>
      <c r="E8" s="20" t="str">
        <f aca="false">IF(B8&gt;C8,"高於參照（參照假設未知）","低於參照")</f>
        <v>高於參照（參照假設未知）</v>
      </c>
      <c r="F8" s="19" t="s">
        <v>2877</v>
      </c>
    </row>
    <row r="9" customFormat="false" ht="15" hidden="false" customHeight="true" outlineLevel="0" collapsed="false">
      <c r="A9" s="15" t="s">
        <v>2878</v>
      </c>
      <c r="B9" s="170" t="n">
        <f aca="false">DC_Cost!G58</f>
        <v>2.08645378736555</v>
      </c>
      <c r="C9" s="170" t="n">
        <f aca="false">L1!$M$30</f>
        <v>10.5</v>
      </c>
      <c r="D9" s="16" t="s">
        <v>819</v>
      </c>
      <c r="E9" s="20" t="str">
        <f aca="false">"牌價 ÷ 持有成本＝"&amp;TEXT(C9/B9,"0.0")&amp;" 倍"</f>
        <v>牌價 ÷ 持有成本＝5.0 倍</v>
      </c>
      <c r="F9" s="6" t="s">
        <v>2879</v>
      </c>
    </row>
    <row r="10" customFormat="false" ht="15" hidden="false" customHeight="true" outlineLevel="0" collapsed="false">
      <c r="A10" s="20" t="s">
        <v>2880</v>
      </c>
      <c r="B10" s="170" t="n">
        <f aca="false">DC_Cost!J58</f>
        <v>2.98269559427618</v>
      </c>
      <c r="C10" s="170" t="n">
        <f aca="false">L1!$M$31</f>
        <v>3.57</v>
      </c>
      <c r="D10" s="16" t="s">
        <v>819</v>
      </c>
      <c r="E10" s="20" t="str">
        <f aca="false">"參照 ÷ 本模型＝"&amp;TEXT(C10/B10,"0.00")</f>
        <v>參照 ÷ 本模型＝1.20</v>
      </c>
      <c r="F10" s="19" t="s">
        <v>2881</v>
      </c>
    </row>
    <row r="12" customFormat="false" ht="15" hidden="false" customHeight="true" outlineLevel="0" collapsed="false">
      <c r="A12" s="34" t="s">
        <v>2882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336</v>
      </c>
      <c r="B13" s="9" t="s">
        <v>2883</v>
      </c>
      <c r="C13" s="9" t="s">
        <v>2868</v>
      </c>
      <c r="D13" s="9" t="s">
        <v>63</v>
      </c>
      <c r="E13" s="9" t="s">
        <v>508</v>
      </c>
      <c r="F13" s="9" t="s">
        <v>430</v>
      </c>
    </row>
    <row r="14" customFormat="false" ht="15" hidden="false" customHeight="true" outlineLevel="0" collapsed="false">
      <c r="A14" s="5" t="s">
        <v>2884</v>
      </c>
      <c r="B14" s="192" t="n">
        <f aca="false">Calib!C86</f>
        <v>1</v>
      </c>
      <c r="C14" s="36" t="s">
        <v>2885</v>
      </c>
      <c r="D14" s="36" t="s">
        <v>83</v>
      </c>
      <c r="E14" s="86" t="s">
        <v>2886</v>
      </c>
      <c r="F14" s="37" t="s">
        <v>2887</v>
      </c>
    </row>
    <row r="15" customFormat="false" ht="26.25" hidden="false" customHeight="true" outlineLevel="0" collapsed="false">
      <c r="A15" s="5" t="s">
        <v>2888</v>
      </c>
      <c r="B15" s="192" t="n">
        <f aca="false">Calib!E86</f>
        <v>0.99108369917347</v>
      </c>
      <c r="C15" s="41" t="n">
        <f aca="false">SRC_PERF_004</f>
        <v>11200</v>
      </c>
      <c r="D15" s="35" t="s">
        <v>2889</v>
      </c>
      <c r="E15" s="80" t="s">
        <v>2890</v>
      </c>
      <c r="F15" s="37" t="s">
        <v>2891</v>
      </c>
    </row>
    <row r="16" customFormat="false" ht="26.25" hidden="false" customHeight="true" outlineLevel="0" collapsed="false">
      <c r="A16" s="5" t="s">
        <v>2892</v>
      </c>
      <c r="B16" s="192" t="n">
        <f aca="false">Calib!F86</f>
        <v>2.18428412747673</v>
      </c>
      <c r="C16" s="41" t="n">
        <f aca="false">SRC_PERF_001</f>
        <v>6182</v>
      </c>
      <c r="D16" s="35" t="s">
        <v>2889</v>
      </c>
      <c r="E16" s="86" t="s">
        <v>2893</v>
      </c>
      <c r="F16" s="37" t="s">
        <v>2894</v>
      </c>
    </row>
    <row r="17" customFormat="false" ht="26.25" hidden="false" customHeight="true" outlineLevel="0" collapsed="false">
      <c r="A17" s="5" t="s">
        <v>2895</v>
      </c>
      <c r="B17" s="192" t="n">
        <f aca="false">Calib!G86</f>
        <v>4.1124545381639</v>
      </c>
      <c r="C17" s="41" t="n">
        <f aca="false">SRC_PERF_002</f>
        <v>2189</v>
      </c>
      <c r="D17" s="35" t="s">
        <v>2889</v>
      </c>
      <c r="E17" s="86" t="s">
        <v>2896</v>
      </c>
      <c r="F17" s="37" t="s">
        <v>2897</v>
      </c>
    </row>
    <row r="18" customFormat="false" ht="15" hidden="false" customHeight="true" outlineLevel="0" collapsed="false">
      <c r="A18" s="5" t="s">
        <v>2898</v>
      </c>
      <c r="B18" s="192" t="n">
        <f aca="false">Calib!H86</f>
        <v>1.00253190991747</v>
      </c>
      <c r="C18" s="41" t="n">
        <f aca="false">SRC_PERF_014</f>
        <v>3795.5</v>
      </c>
      <c r="D18" s="35" t="s">
        <v>2889</v>
      </c>
      <c r="E18" s="86" t="s">
        <v>2899</v>
      </c>
      <c r="F18" s="37" t="s">
        <v>2900</v>
      </c>
    </row>
    <row r="19" customFormat="false" ht="29.25" hidden="false" customHeight="true" outlineLevel="0" collapsed="false">
      <c r="A19" s="6" t="s">
        <v>2901</v>
      </c>
      <c r="B19" s="192" t="n">
        <f aca="false">DC_Cost!J58/(Calib!C17*3600)*1000000</f>
        <v>0.088687399403304</v>
      </c>
      <c r="C19" s="185" t="n">
        <f aca="false">SRC_PERF_011</f>
        <v>0.078</v>
      </c>
      <c r="D19" s="36" t="s">
        <v>2375</v>
      </c>
      <c r="E19" s="86" t="s">
        <v>2902</v>
      </c>
      <c r="F19" s="37" t="s">
        <v>2903</v>
      </c>
    </row>
    <row r="20" customFormat="false" ht="39" hidden="false" customHeight="true" outlineLevel="0" collapsed="false">
      <c r="A20" s="6" t="s">
        <v>2904</v>
      </c>
      <c r="B20" s="192" t="n">
        <f aca="false">Sens_Perf!C120</f>
        <v>1.56528522129431</v>
      </c>
      <c r="C20" s="185" t="n">
        <f aca="false">DC_Cost!M55/DC_Cost!J55</f>
        <v>1.00292889298276</v>
      </c>
      <c r="D20" s="36" t="s">
        <v>83</v>
      </c>
      <c r="E20" s="86" t="s">
        <v>2905</v>
      </c>
      <c r="F20" s="37" t="s">
        <v>2906</v>
      </c>
    </row>
    <row r="21" customFormat="false" ht="39" hidden="false" customHeight="true" outlineLevel="0" collapsed="false">
      <c r="A21" s="6" t="s">
        <v>2907</v>
      </c>
      <c r="B21" s="192" t="n">
        <f aca="false">DC_Cost!J11*Inputs!$E$10/72</f>
        <v>1.51111111111111</v>
      </c>
      <c r="C21" s="36" t="s">
        <v>2908</v>
      </c>
      <c r="D21" s="36" t="s">
        <v>2909</v>
      </c>
      <c r="E21" s="80" t="s">
        <v>2910</v>
      </c>
      <c r="F21" s="37" t="s">
        <v>431</v>
      </c>
    </row>
    <row r="22" customFormat="false" ht="29.25" hidden="false" customHeight="true" outlineLevel="0" collapsed="false">
      <c r="A22" s="6" t="s">
        <v>2911</v>
      </c>
      <c r="B22" s="192" t="n">
        <f aca="false">Sens_Perf!C121</f>
        <v>0.613909623905938</v>
      </c>
      <c r="C22" s="36" t="s">
        <v>2912</v>
      </c>
      <c r="D22" s="36" t="s">
        <v>83</v>
      </c>
      <c r="E22" s="86"/>
      <c r="F22" s="37" t="s">
        <v>2906</v>
      </c>
    </row>
    <row r="23" customFormat="false" ht="15" hidden="false" customHeight="true" outlineLevel="0" collapsed="false">
      <c r="A23" s="5" t="s">
        <v>2913</v>
      </c>
      <c r="B23" s="192" t="n">
        <f aca="false">Calib!C149</f>
        <v>0.702796711119185</v>
      </c>
      <c r="C23" s="36" t="s">
        <v>2885</v>
      </c>
      <c r="D23" s="36" t="s">
        <v>83</v>
      </c>
      <c r="E23" s="80" t="s">
        <v>2914</v>
      </c>
      <c r="F23" s="37" t="s">
        <v>2915</v>
      </c>
    </row>
    <row r="24" customFormat="false" ht="15" hidden="false" customHeight="true" outlineLevel="0" collapsed="false">
      <c r="A24" s="5" t="s">
        <v>2916</v>
      </c>
      <c r="B24" s="192" t="n">
        <f aca="false">Calib!C150</f>
        <v>2.5251262330147</v>
      </c>
      <c r="C24" s="175" t="n">
        <f aca="false">Calib!C151</f>
        <v>2.5748897461993</v>
      </c>
      <c r="D24" s="36" t="s">
        <v>83</v>
      </c>
      <c r="E24" s="86" t="s">
        <v>2917</v>
      </c>
      <c r="F24" s="37" t="s">
        <v>2918</v>
      </c>
    </row>
    <row r="25" customFormat="false" ht="39" hidden="false" customHeight="true" outlineLevel="0" collapsed="false">
      <c r="A25" s="5" t="s">
        <v>2919</v>
      </c>
      <c r="B25" s="192" t="n">
        <f aca="false">Calib!C152</f>
        <v>1.5</v>
      </c>
      <c r="C25" s="175" t="n">
        <f aca="false">Calib!D152</f>
        <v>1.05487728759394</v>
      </c>
      <c r="D25" s="36" t="s">
        <v>83</v>
      </c>
      <c r="E25" s="80" t="s">
        <v>2920</v>
      </c>
      <c r="F25" s="37" t="s">
        <v>2921</v>
      </c>
    </row>
    <row r="26" customFormat="false" ht="15" hidden="false" customHeight="true" outlineLevel="0" collapsed="false">
      <c r="A26" s="5" t="s">
        <v>2922</v>
      </c>
      <c r="B26" s="209" t="n">
        <f aca="false">MAX(Perf!C116:Q116)</f>
        <v>0.067482803137983</v>
      </c>
      <c r="C26" s="36" t="s">
        <v>2923</v>
      </c>
      <c r="D26" s="36" t="s">
        <v>79</v>
      </c>
      <c r="E26" s="86" t="s">
        <v>2924</v>
      </c>
      <c r="F26" s="37" t="s">
        <v>2925</v>
      </c>
    </row>
    <row r="27" customFormat="false" ht="15" hidden="false" customHeight="true" outlineLevel="0" collapsed="false">
      <c r="A27" s="6" t="s">
        <v>2926</v>
      </c>
      <c r="B27" s="192" t="n">
        <f aca="false">COUNTIF(Perf!C90:Q90,"SLO 不可達")</f>
        <v>0</v>
      </c>
      <c r="C27" s="36" t="s">
        <v>587</v>
      </c>
      <c r="D27" s="35" t="s">
        <v>2927</v>
      </c>
      <c r="E27" s="80" t="s">
        <v>2928</v>
      </c>
      <c r="F27" s="37" t="s">
        <v>2929</v>
      </c>
    </row>
    <row r="28" customFormat="false" ht="39" hidden="false" customHeight="true" outlineLevel="0" collapsed="false">
      <c r="A28" s="5" t="s">
        <v>2930</v>
      </c>
      <c r="B28" s="192" t="n">
        <f aca="false">((8*1.32+3.96)/9)/((8*Unit_Cost!J32+Unit_Cost!J34)/9)</f>
        <v>11.5320709000744</v>
      </c>
      <c r="C28" s="36" t="s">
        <v>587</v>
      </c>
      <c r="D28" s="36" t="s">
        <v>83</v>
      </c>
      <c r="E28" s="80" t="s">
        <v>2931</v>
      </c>
      <c r="F28" s="37" t="s">
        <v>2932</v>
      </c>
    </row>
    <row r="30" customFormat="false" ht="15" hidden="false" customHeight="true" outlineLevel="0" collapsed="false">
      <c r="A30" s="34" t="s">
        <v>2933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336</v>
      </c>
      <c r="B31" s="9" t="s">
        <v>2883</v>
      </c>
      <c r="C31" s="9" t="s">
        <v>2868</v>
      </c>
      <c r="D31" s="9" t="s">
        <v>63</v>
      </c>
      <c r="E31" s="9" t="s">
        <v>508</v>
      </c>
      <c r="F31" s="9" t="s">
        <v>430</v>
      </c>
    </row>
    <row r="32" customFormat="false" ht="39" hidden="false" customHeight="true" outlineLevel="0" collapsed="false">
      <c r="A32" s="6" t="s">
        <v>2934</v>
      </c>
      <c r="B32" s="180" t="n">
        <f aca="false">3*(2*Calib!$C$101*1000000000+Calib!$C$109*Train_In!$C$43/2)*Train_In!$C$41*1000000000000/(Train_In!$C$42*1000000*3600*Spec_Rack!$C$40*1000000000000000)</f>
        <v>0.197055428667677</v>
      </c>
      <c r="C32" s="179" t="n">
        <f aca="false">Training!C16</f>
        <v>0.25</v>
      </c>
      <c r="D32" s="36" t="s">
        <v>79</v>
      </c>
      <c r="E32" s="86" t="s">
        <v>2935</v>
      </c>
      <c r="F32" s="37" t="s">
        <v>951</v>
      </c>
    </row>
    <row r="33" customFormat="false" ht="26.25" hidden="false" customHeight="true" outlineLevel="0" collapsed="false">
      <c r="A33" s="6" t="s">
        <v>2936</v>
      </c>
      <c r="B33" s="192" t="n">
        <f aca="false">Training!N78</f>
        <v>1.12717162997901</v>
      </c>
      <c r="C33" s="43" t="n">
        <f aca="false">L1!$M$33</f>
        <v>1</v>
      </c>
      <c r="D33" s="36" t="s">
        <v>83</v>
      </c>
      <c r="E33" s="80" t="s">
        <v>2937</v>
      </c>
      <c r="F33" s="37" t="s">
        <v>2938</v>
      </c>
    </row>
    <row r="34" customFormat="false" ht="26.25" hidden="false" customHeight="true" outlineLevel="0" collapsed="false">
      <c r="A34" s="6" t="s">
        <v>2939</v>
      </c>
      <c r="B34" s="192" t="n">
        <f aca="false">Training!M78</f>
        <v>0.371397626434424</v>
      </c>
      <c r="C34" s="43" t="n">
        <f aca="false">L1!$M$32</f>
        <v>0.0551801801801802</v>
      </c>
      <c r="D34" s="36" t="s">
        <v>83</v>
      </c>
      <c r="E34" s="80" t="s">
        <v>2940</v>
      </c>
      <c r="F34" s="37" t="s">
        <v>2941</v>
      </c>
    </row>
    <row r="35" customFormat="false" ht="15" hidden="false" customHeight="true" outlineLevel="0" collapsed="false">
      <c r="A35" s="6" t="s">
        <v>2942</v>
      </c>
      <c r="B35" s="180" t="n">
        <f aca="false">Training!N77</f>
        <v>0.0679835504547044</v>
      </c>
      <c r="C35" s="198" t="s">
        <v>2943</v>
      </c>
      <c r="D35" s="36" t="s">
        <v>79</v>
      </c>
      <c r="E35" s="86" t="s">
        <v>2944</v>
      </c>
      <c r="F35" s="47" t="s">
        <v>2945</v>
      </c>
    </row>
    <row r="36" customFormat="false" ht="29.25" hidden="false" customHeight="true" outlineLevel="0" collapsed="false">
      <c r="A36" s="5" t="s">
        <v>2946</v>
      </c>
      <c r="B36" s="180" t="n">
        <f aca="false">Training!N111-Training!N110</f>
        <v>0.252262860133895</v>
      </c>
      <c r="C36" s="198" t="s">
        <v>2947</v>
      </c>
      <c r="D36" s="36" t="s">
        <v>79</v>
      </c>
      <c r="E36" s="80" t="s">
        <v>2948</v>
      </c>
      <c r="F36" s="37" t="s">
        <v>2949</v>
      </c>
    </row>
    <row r="37" customFormat="false" ht="15" hidden="false" customHeight="true" outlineLevel="0" collapsed="false">
      <c r="A37" s="5" t="s">
        <v>2950</v>
      </c>
      <c r="B37" s="180" t="n">
        <f aca="false">1/Train_In!$C$13</f>
        <v>0.125</v>
      </c>
      <c r="C37" s="179" t="str">
        <f aca="false">TEXT(L1!$M$34*100,"0.0")&amp;"%–"&amp;TEXT(L1!$N$34*100,"0.0")&amp;"%"</f>
        <v>9.6%–22.6%</v>
      </c>
      <c r="D37" s="36" t="s">
        <v>79</v>
      </c>
      <c r="E37" s="80" t="s">
        <v>2951</v>
      </c>
      <c r="F37" s="37" t="s">
        <v>2952</v>
      </c>
    </row>
    <row r="38" customFormat="false" ht="36.75" hidden="false" customHeight="true" outlineLevel="0" collapsed="false">
      <c r="A38" s="5" t="s">
        <v>2953</v>
      </c>
      <c r="B38" s="192" t="n">
        <f aca="false">Train_In!$C$47/(Training!N34*1000000000)/1000000000000</f>
        <v>438.443429242364</v>
      </c>
      <c r="C38" s="43" t="n">
        <f aca="false">Training!N31</f>
        <v>60</v>
      </c>
      <c r="D38" s="36" t="s">
        <v>920</v>
      </c>
      <c r="E38" s="80" t="s">
        <v>2954</v>
      </c>
      <c r="F38" s="37" t="s">
        <v>2955</v>
      </c>
    </row>
    <row r="39" customFormat="false" ht="29.25" hidden="false" customHeight="true" outlineLevel="0" collapsed="false">
      <c r="A39" s="6" t="s">
        <v>2956</v>
      </c>
      <c r="B39" s="180" t="n">
        <f aca="false">Training!N117</f>
        <v>0.00500223043232874</v>
      </c>
      <c r="C39" s="179" t="n">
        <f aca="false">Training!K117</f>
        <v>0.00819830093710954</v>
      </c>
      <c r="D39" s="36" t="s">
        <v>79</v>
      </c>
      <c r="E39" s="86" t="s">
        <v>2957</v>
      </c>
      <c r="F39" s="37" t="s">
        <v>2958</v>
      </c>
    </row>
    <row r="41" customFormat="false" ht="15" hidden="false" customHeight="true" outlineLevel="0" collapsed="false">
      <c r="A41" s="34" t="s">
        <v>2959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336</v>
      </c>
      <c r="B42" s="9" t="s">
        <v>2883</v>
      </c>
      <c r="C42" s="9" t="s">
        <v>2868</v>
      </c>
      <c r="D42" s="9" t="s">
        <v>63</v>
      </c>
      <c r="E42" s="9" t="s">
        <v>508</v>
      </c>
      <c r="F42" s="9" t="s">
        <v>430</v>
      </c>
      <c r="H42" s="9" t="s">
        <v>2960</v>
      </c>
    </row>
    <row r="43" customFormat="false" ht="51.75" hidden="false" customHeight="true" outlineLevel="0" collapsed="false">
      <c r="A43" s="6" t="s">
        <v>2961</v>
      </c>
      <c r="B43" s="192" t="n">
        <f aca="false">IF(AND(ISNUMBER(Theory_Rev!D67),ISNUMBER(Theory_Rev!G67)),$I$46*Theory_Rev!D67+(1-$I$46)*Theory_Rev!G67,"SLO 不可達")</f>
        <v>10.9578708377053</v>
      </c>
      <c r="C43" s="43" t="n">
        <f aca="false">L1!$M$35</f>
        <v>10.456</v>
      </c>
      <c r="D43" s="36" t="s">
        <v>2962</v>
      </c>
      <c r="E43" s="86" t="s">
        <v>2963</v>
      </c>
      <c r="F43" s="37" t="s">
        <v>2964</v>
      </c>
      <c r="H43" s="37" t="s">
        <v>2965</v>
      </c>
      <c r="I43" s="175" t="n">
        <f aca="false">SRC_DEM_007</f>
        <v>13.07</v>
      </c>
    </row>
    <row r="44" customFormat="false" ht="43.5" hidden="false" customHeight="true" outlineLevel="0" collapsed="false">
      <c r="A44" s="6" t="s">
        <v>2966</v>
      </c>
      <c r="B44" s="192" t="n">
        <f aca="false">IF(ISNUMBER(Unit_Cost!D34),INDEX(B4_MktOut,8,1)/Unit_Cost!D34,"SLO 不可達")</f>
        <v>0.902840925032714</v>
      </c>
      <c r="C44" s="210" t="s">
        <v>2967</v>
      </c>
      <c r="D44" s="36" t="s">
        <v>83</v>
      </c>
      <c r="E44" s="80" t="s">
        <v>2968</v>
      </c>
      <c r="F44" s="37" t="s">
        <v>2969</v>
      </c>
      <c r="H44" s="37" t="s">
        <v>2970</v>
      </c>
      <c r="I44" s="175" t="n">
        <f aca="false">SRC_DEM_008</f>
        <v>0.6</v>
      </c>
    </row>
    <row r="45" customFormat="false" ht="29.25" hidden="false" customHeight="true" outlineLevel="0" collapsed="false">
      <c r="A45" s="6" t="s">
        <v>2971</v>
      </c>
      <c r="B45" s="192" t="n">
        <f aca="false">IF(ISNUMBER(Unit_Cost!D31),INDEX(B4_MktOut,8,1)*B4_OffPeak/Unit_Cost!D31,"SLO 不可達")</f>
        <v>0.752367437527262</v>
      </c>
      <c r="C45" s="210" t="s">
        <v>2967</v>
      </c>
      <c r="D45" s="36" t="s">
        <v>83</v>
      </c>
      <c r="E45" s="86"/>
      <c r="F45" s="37" t="s">
        <v>2972</v>
      </c>
      <c r="H45" s="37" t="s">
        <v>2973</v>
      </c>
      <c r="I45" s="175" t="n">
        <f aca="false">SRC_DEM_009</f>
        <v>1.9</v>
      </c>
    </row>
    <row r="46" customFormat="false" ht="43.5" hidden="false" customHeight="true" outlineLevel="0" collapsed="false">
      <c r="A46" s="6" t="s">
        <v>2974</v>
      </c>
      <c r="B46" s="192" t="n">
        <f aca="false">IF(ISNUMBER(Unit_Cost!D21),INDEX(B4_MktOut,7,1)/Unit_Cost!D21,"SLO 不可達")</f>
        <v>0.938945282345837</v>
      </c>
      <c r="C46" s="210" t="s">
        <v>2967</v>
      </c>
      <c r="D46" s="36" t="s">
        <v>83</v>
      </c>
      <c r="E46" s="80" t="s">
        <v>2975</v>
      </c>
      <c r="F46" s="37" t="s">
        <v>2972</v>
      </c>
      <c r="H46" s="37" t="s">
        <v>2976</v>
      </c>
      <c r="I46" s="46" t="n">
        <v>0.57</v>
      </c>
      <c r="J46" s="37" t="s">
        <v>2977</v>
      </c>
    </row>
    <row r="47" customFormat="false" ht="15" hidden="false" customHeight="true" outlineLevel="0" collapsed="false">
      <c r="A47" s="5" t="s">
        <v>2978</v>
      </c>
      <c r="B47" s="192" t="str">
        <f aca="false">Price_Frontier!C26</f>
        <v>GPT-6 Luna</v>
      </c>
      <c r="C47" s="210" t="s">
        <v>587</v>
      </c>
      <c r="D47" s="35"/>
      <c r="E47" s="80" t="s">
        <v>2979</v>
      </c>
      <c r="F47" s="37" t="s">
        <v>2980</v>
      </c>
    </row>
    <row r="48" customFormat="false" ht="15" hidden="false" customHeight="true" outlineLevel="0" collapsed="false">
      <c r="A48" s="5" t="s">
        <v>2981</v>
      </c>
      <c r="B48" s="192" t="str">
        <f aca="false">Price_Frontier!D26</f>
        <v>GPT-6 Sol</v>
      </c>
      <c r="C48" s="210" t="s">
        <v>587</v>
      </c>
      <c r="D48" s="35"/>
      <c r="E48" s="86"/>
      <c r="F48" s="37" t="s">
        <v>2980</v>
      </c>
    </row>
    <row r="49" customFormat="false" ht="39" hidden="false" customHeight="true" outlineLevel="0" collapsed="false">
      <c r="A49" s="5" t="s">
        <v>2982</v>
      </c>
      <c r="B49" s="192" t="str">
        <f aca="false">Price_Frontier!E26</f>
        <v>Claude Fable 5.1</v>
      </c>
      <c r="C49" s="210" t="s">
        <v>587</v>
      </c>
      <c r="D49" s="35"/>
      <c r="E49" s="80" t="s">
        <v>2983</v>
      </c>
      <c r="F49" s="37" t="s">
        <v>2980</v>
      </c>
    </row>
    <row r="50" customFormat="false" ht="26.25" hidden="false" customHeight="true" outlineLevel="0" collapsed="false">
      <c r="A50" s="5" t="s">
        <v>2984</v>
      </c>
      <c r="B50" s="192" t="n">
        <f aca="false">Price_Frontier!C33</f>
        <v>1.29646017699115</v>
      </c>
      <c r="C50" s="210" t="s">
        <v>2985</v>
      </c>
      <c r="D50" s="36" t="s">
        <v>83</v>
      </c>
      <c r="E50" s="80" t="s">
        <v>2986</v>
      </c>
      <c r="F50" s="37" t="s">
        <v>2980</v>
      </c>
    </row>
    <row r="51" customFormat="false" ht="29.25" hidden="false" customHeight="true" outlineLevel="0" collapsed="false">
      <c r="A51" s="5" t="s">
        <v>2987</v>
      </c>
      <c r="B51" s="192" t="n">
        <f aca="false">Fleet_1GW!M34</f>
        <v>12.1291102743968</v>
      </c>
      <c r="C51" s="210" t="s">
        <v>2988</v>
      </c>
      <c r="D51" s="35" t="s">
        <v>295</v>
      </c>
      <c r="E51" s="86" t="s">
        <v>2989</v>
      </c>
      <c r="F51" s="37" t="s">
        <v>2990</v>
      </c>
    </row>
    <row r="52" customFormat="false" ht="29.25" hidden="false" customHeight="true" outlineLevel="0" collapsed="false">
      <c r="A52" s="6" t="s">
        <v>2991</v>
      </c>
      <c r="B52" s="192" t="n">
        <f aca="false">Fleet_1GW!M30</f>
        <v>0</v>
      </c>
      <c r="C52" s="210" t="s">
        <v>2992</v>
      </c>
      <c r="D52" s="36" t="s">
        <v>71</v>
      </c>
      <c r="E52" s="86"/>
      <c r="F52" s="37" t="s">
        <v>2990</v>
      </c>
    </row>
    <row r="53" customFormat="false" ht="29.25" hidden="false" customHeight="true" outlineLevel="0" collapsed="false">
      <c r="A53" s="5" t="s">
        <v>2993</v>
      </c>
      <c r="B53" s="181" t="n">
        <f aca="false">Amortize!M22/INDEX(B4_EffRef,1,2)</f>
        <v>0.00278369063354004</v>
      </c>
      <c r="C53" s="210" t="s">
        <v>587</v>
      </c>
      <c r="D53" s="36" t="s">
        <v>79</v>
      </c>
      <c r="E53" s="86" t="s">
        <v>2994</v>
      </c>
      <c r="F53" s="37" t="s">
        <v>2995</v>
      </c>
    </row>
    <row r="54" customFormat="false" ht="39" hidden="false" customHeight="true" outlineLevel="0" collapsed="false">
      <c r="A54" s="6" t="s">
        <v>2996</v>
      </c>
      <c r="B54" s="192" t="n">
        <f aca="false">Amortize!M41</f>
        <v>8.17903058415228</v>
      </c>
      <c r="C54" s="210" t="s">
        <v>2997</v>
      </c>
      <c r="D54" s="36" t="s">
        <v>83</v>
      </c>
      <c r="E54" s="86" t="s">
        <v>2998</v>
      </c>
      <c r="F54" s="37" t="s">
        <v>2995</v>
      </c>
    </row>
    <row r="55" customFormat="false" ht="29.25" hidden="false" customHeight="true" outlineLevel="0" collapsed="false">
      <c r="A55" s="6" t="s">
        <v>2999</v>
      </c>
      <c r="B55" s="181" t="n">
        <f aca="false">Amortize!M47/INDEX(B4_EffRef,1,3)</f>
        <v>0.185939567405413</v>
      </c>
      <c r="C55" s="210" t="s">
        <v>587</v>
      </c>
      <c r="D55" s="36" t="s">
        <v>79</v>
      </c>
      <c r="E55" s="86" t="s">
        <v>3000</v>
      </c>
      <c r="F55" s="37" t="s">
        <v>2995</v>
      </c>
    </row>
    <row r="56" customFormat="false" ht="29.25" hidden="false" customHeight="true" outlineLevel="0" collapsed="false">
      <c r="A56" s="5" t="s">
        <v>3001</v>
      </c>
      <c r="B56" s="192" t="n">
        <f aca="false">Theory_Rev!M64+Theory_Rev!M65+Theory_Rev!M66-Theory_Rev!M67</f>
        <v>0</v>
      </c>
      <c r="C56" s="210" t="s">
        <v>2992</v>
      </c>
      <c r="D56" s="36" t="s">
        <v>1371</v>
      </c>
      <c r="E56" s="86"/>
      <c r="F56" s="37" t="s">
        <v>3002</v>
      </c>
    </row>
    <row r="58" customFormat="false" ht="15" hidden="false" customHeight="true" outlineLevel="0" collapsed="false">
      <c r="A58" s="34" t="s">
        <v>3003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336</v>
      </c>
      <c r="B59" s="9" t="s">
        <v>2883</v>
      </c>
      <c r="C59" s="9" t="s">
        <v>2868</v>
      </c>
      <c r="D59" s="9" t="s">
        <v>63</v>
      </c>
      <c r="E59" s="9" t="s">
        <v>508</v>
      </c>
      <c r="F59" s="9" t="s">
        <v>430</v>
      </c>
    </row>
    <row r="60" customFormat="false" ht="39" hidden="false" customHeight="true" outlineLevel="0" collapsed="false">
      <c r="A60" s="5" t="s">
        <v>3004</v>
      </c>
      <c r="B60" s="211" t="n">
        <f aca="false">B5_W</f>
        <v>0</v>
      </c>
      <c r="C60" s="210" t="s">
        <v>2992</v>
      </c>
      <c r="D60" s="36" t="s">
        <v>83</v>
      </c>
      <c r="E60" s="80" t="s">
        <v>3005</v>
      </c>
      <c r="F60" s="37" t="s">
        <v>3006</v>
      </c>
    </row>
    <row r="61" customFormat="false" ht="29.25" hidden="false" customHeight="true" outlineLevel="0" collapsed="false">
      <c r="A61" s="6" t="s">
        <v>3007</v>
      </c>
      <c r="B61" s="192" t="n">
        <f aca="false">ABS(Workload!C35-Harness!C21)+ABS(Workload!D35-Harness!D21)+ABS(Workload!E35-Harness!E21)+ABS(Workload!F35-Harness!F21)+ABS(Workload!G35-Harness!G21)</f>
        <v>0</v>
      </c>
      <c r="C61" s="210" t="s">
        <v>3008</v>
      </c>
      <c r="D61" s="36" t="s">
        <v>257</v>
      </c>
      <c r="E61" s="80" t="s">
        <v>3009</v>
      </c>
      <c r="F61" s="37" t="s">
        <v>3010</v>
      </c>
    </row>
    <row r="62" customFormat="false" ht="39" hidden="false" customHeight="true" outlineLevel="0" collapsed="false">
      <c r="A62" s="6" t="s">
        <v>3011</v>
      </c>
      <c r="B62" s="192" t="n">
        <f aca="false">Harness!G45</f>
        <v>0.492530120481928</v>
      </c>
      <c r="C62" s="43" t="n">
        <f aca="false">Har_In!E72</f>
        <v>0.51</v>
      </c>
      <c r="D62" s="36" t="s">
        <v>83</v>
      </c>
      <c r="E62" s="86" t="s">
        <v>3012</v>
      </c>
      <c r="F62" s="37" t="s">
        <v>1528</v>
      </c>
    </row>
    <row r="63" customFormat="false" ht="39" hidden="false" customHeight="true" outlineLevel="0" collapsed="false">
      <c r="A63" s="6" t="s">
        <v>3013</v>
      </c>
      <c r="B63" s="192" t="n">
        <f aca="false">Harness!G138</f>
        <v>0.519416933036323</v>
      </c>
      <c r="C63" s="43" t="n">
        <f aca="false">(Har_In!D71/Har_In!C71)/(Har_In!D70/Har_In!C70)</f>
        <v>0.422310694422661</v>
      </c>
      <c r="D63" s="36" t="s">
        <v>83</v>
      </c>
      <c r="E63" s="86" t="s">
        <v>3014</v>
      </c>
      <c r="F63" s="37" t="s">
        <v>1528</v>
      </c>
    </row>
    <row r="64" customFormat="false" ht="39" hidden="false" customHeight="true" outlineLevel="0" collapsed="false">
      <c r="A64" s="6" t="s">
        <v>3015</v>
      </c>
      <c r="B64" s="192" t="n">
        <f aca="false">((1/Har_In!C70-1)/(1/Har_In!C71-1))^(1/B5_Beta)</f>
        <v>145.519176037217</v>
      </c>
      <c r="C64" s="210" t="s">
        <v>3016</v>
      </c>
      <c r="D64" s="36" t="s">
        <v>83</v>
      </c>
      <c r="E64" s="86" t="s">
        <v>3017</v>
      </c>
      <c r="F64" s="37" t="s">
        <v>3018</v>
      </c>
    </row>
    <row r="65" customFormat="false" ht="15" hidden="false" customHeight="true" outlineLevel="0" collapsed="false">
      <c r="A65" s="6" t="s">
        <v>3019</v>
      </c>
      <c r="B65" s="192" t="n">
        <f aca="false">AVERAGE(Har_In!F77:F80)</f>
        <v>0.80134078201291</v>
      </c>
      <c r="C65" s="210" t="n">
        <f aca="false">B5_Beta</f>
        <v>0.75</v>
      </c>
      <c r="D65" s="36" t="s">
        <v>83</v>
      </c>
      <c r="E65" s="86" t="s">
        <v>3020</v>
      </c>
      <c r="F65" s="37" t="s">
        <v>1547</v>
      </c>
    </row>
    <row r="66" customFormat="false" ht="29.25" hidden="false" customHeight="true" outlineLevel="0" collapsed="false">
      <c r="A66" s="6" t="s">
        <v>3021</v>
      </c>
      <c r="B66" s="180" t="n">
        <f aca="false">Harness!G62</f>
        <v>0.627115119175411</v>
      </c>
      <c r="C66" s="210" t="s">
        <v>587</v>
      </c>
      <c r="D66" s="36" t="s">
        <v>79</v>
      </c>
      <c r="E66" s="86" t="s">
        <v>3022</v>
      </c>
      <c r="F66" s="37" t="s">
        <v>3023</v>
      </c>
    </row>
    <row r="67" customFormat="false" ht="29.25" hidden="false" customHeight="true" outlineLevel="0" collapsed="false">
      <c r="A67" s="5" t="s">
        <v>3024</v>
      </c>
      <c r="B67" s="192" t="str">
        <f aca="false">Harness!G152</f>
        <v>Sol｜選定</v>
      </c>
      <c r="C67" s="43" t="str">
        <f aca="false">Harness!G148</f>
        <v>Luna｜選定</v>
      </c>
      <c r="D67" s="35"/>
      <c r="E67" s="86" t="s">
        <v>3025</v>
      </c>
      <c r="F67" s="37" t="s">
        <v>3026</v>
      </c>
    </row>
    <row r="68" customFormat="false" ht="29.25" hidden="false" customHeight="true" outlineLevel="0" collapsed="false">
      <c r="A68" s="6" t="s">
        <v>3027</v>
      </c>
      <c r="B68" s="192" t="n">
        <f aca="false">MIN(Sens_Har!C37:Z37)</f>
        <v>0.362029771999682</v>
      </c>
      <c r="C68" s="43" t="n">
        <f aca="false">MAX(Sens_Har!C37:Z37)</f>
        <v>0.768971159130678</v>
      </c>
      <c r="D68" s="36" t="s">
        <v>83</v>
      </c>
      <c r="E68" s="86" t="s">
        <v>3028</v>
      </c>
      <c r="F68" s="37" t="s">
        <v>3029</v>
      </c>
    </row>
    <row r="69" customFormat="false" ht="26.25" hidden="false" customHeight="true" outlineLevel="0" collapsed="false">
      <c r="A69" s="5" t="s">
        <v>3030</v>
      </c>
      <c r="B69" s="197" t="n">
        <f aca="false">B5_PFloor</f>
        <v>0.5</v>
      </c>
      <c r="C69" s="210" t="s">
        <v>3031</v>
      </c>
      <c r="D69" s="36" t="s">
        <v>79</v>
      </c>
      <c r="E69" s="86" t="s">
        <v>3032</v>
      </c>
      <c r="F69" s="37" t="s">
        <v>3033</v>
      </c>
    </row>
    <row r="70" customFormat="false" ht="29.25" hidden="false" customHeight="true" outlineLevel="0" collapsed="false">
      <c r="A70" s="5" t="s">
        <v>3034</v>
      </c>
      <c r="B70" s="192" t="n">
        <f aca="false">COUNTIF(Harness!C152:G152,"無合格")</f>
        <v>0</v>
      </c>
      <c r="C70" s="210" t="s">
        <v>3035</v>
      </c>
      <c r="D70" s="35"/>
      <c r="E70" s="80" t="s">
        <v>3036</v>
      </c>
      <c r="F70" s="37" t="s">
        <v>3026</v>
      </c>
    </row>
    <row r="72" customFormat="false" ht="15" hidden="false" customHeight="true" outlineLevel="0" collapsed="false">
      <c r="A72" s="34" t="s">
        <v>3037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3038</v>
      </c>
      <c r="B73" s="9" t="s">
        <v>3039</v>
      </c>
      <c r="C73" s="9" t="s">
        <v>3040</v>
      </c>
      <c r="D73" s="9" t="s">
        <v>3041</v>
      </c>
      <c r="E73" s="9" t="s">
        <v>3042</v>
      </c>
    </row>
    <row r="74" customFormat="false" ht="15" hidden="false" customHeight="true" outlineLevel="0" collapsed="false">
      <c r="A74" s="36" t="s">
        <v>3043</v>
      </c>
      <c r="B74" s="35" t="s">
        <v>3044</v>
      </c>
      <c r="C74" s="8" t="s">
        <v>3045</v>
      </c>
      <c r="D74" s="186" t="n">
        <f aca="false">COUNTIF(Gov_Map!$V$5:$V$700,1)</f>
        <v>0</v>
      </c>
      <c r="E74" s="37" t="s">
        <v>3046</v>
      </c>
    </row>
    <row r="75" customFormat="false" ht="15" hidden="false" customHeight="true" outlineLevel="0" collapsed="false">
      <c r="A75" s="36" t="s">
        <v>3047</v>
      </c>
      <c r="B75" s="36" t="s">
        <v>3048</v>
      </c>
      <c r="C75" s="8" t="s">
        <v>3045</v>
      </c>
      <c r="D75" s="186" t="n">
        <f aca="false">COUNTIF(Gov_Map!$W$5:$W$700,1)</f>
        <v>0</v>
      </c>
      <c r="E75" s="37" t="s">
        <v>3049</v>
      </c>
    </row>
    <row r="76" customFormat="false" ht="15" hidden="false" customHeight="true" outlineLevel="0" collapsed="false">
      <c r="A76" s="36" t="s">
        <v>3050</v>
      </c>
      <c r="B76" s="36" t="s">
        <v>3051</v>
      </c>
      <c r="C76" s="8" t="s">
        <v>3045</v>
      </c>
      <c r="D76" s="186" t="n">
        <f aca="false">COUNTIF(Gov_Map!$X$5:$X$700,1)</f>
        <v>0</v>
      </c>
      <c r="E76" s="37" t="s">
        <v>3052</v>
      </c>
    </row>
    <row r="77" customFormat="false" ht="15" hidden="false" customHeight="true" outlineLevel="0" collapsed="false">
      <c r="A77" s="36" t="s">
        <v>3053</v>
      </c>
      <c r="B77" s="36" t="s">
        <v>3054</v>
      </c>
      <c r="C77" s="8" t="s">
        <v>3045</v>
      </c>
      <c r="D77" s="186" t="n">
        <f aca="false">COUNTIF(Gov_Map!$Y$5:$Y$700,1)</f>
        <v>0</v>
      </c>
      <c r="E77" s="37" t="s">
        <v>3049</v>
      </c>
    </row>
    <row r="78" customFormat="false" ht="15" hidden="false" customHeight="true" outlineLevel="0" collapsed="false">
      <c r="A78" s="36" t="s">
        <v>3055</v>
      </c>
      <c r="B78" s="36" t="s">
        <v>3056</v>
      </c>
      <c r="C78" s="8" t="s">
        <v>3045</v>
      </c>
      <c r="D78" s="186" t="n">
        <f aca="false">COUNTIF(Gov_Map!$Z$5:$Z$700,1)</f>
        <v>0</v>
      </c>
      <c r="E78" s="37" t="s">
        <v>3049</v>
      </c>
    </row>
    <row r="79" customFormat="false" ht="15" hidden="false" customHeight="true" outlineLevel="0" collapsed="false">
      <c r="A79" s="36" t="s">
        <v>3057</v>
      </c>
      <c r="B79" s="35" t="s">
        <v>3058</v>
      </c>
      <c r="C79" s="8" t="s">
        <v>3045</v>
      </c>
      <c r="D79" s="186" t="n">
        <f aca="false">COUNTIF(Gov_Map!$AA$5:$AA$700,1)</f>
        <v>0</v>
      </c>
      <c r="E79" s="37" t="s">
        <v>3059</v>
      </c>
    </row>
    <row r="80" customFormat="false" ht="15" hidden="false" customHeight="true" outlineLevel="0" collapsed="false">
      <c r="A80" s="36" t="s">
        <v>3060</v>
      </c>
      <c r="B80" s="35" t="s">
        <v>3061</v>
      </c>
      <c r="C80" s="8" t="s">
        <v>3045</v>
      </c>
      <c r="D80" s="186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37" t="s">
        <v>3062</v>
      </c>
    </row>
    <row r="81" customFormat="false" ht="15" hidden="false" customHeight="true" outlineLevel="0" collapsed="false">
      <c r="A81" s="36" t="s">
        <v>3063</v>
      </c>
      <c r="B81" s="36" t="s">
        <v>3064</v>
      </c>
      <c r="C81" s="8" t="s">
        <v>3045</v>
      </c>
      <c r="D81" s="186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37" t="s">
        <v>3065</v>
      </c>
    </row>
    <row r="82" customFormat="false" ht="15" hidden="false" customHeight="true" outlineLevel="0" collapsed="false">
      <c r="A82" s="36" t="s">
        <v>3066</v>
      </c>
      <c r="B82" s="35" t="s">
        <v>3067</v>
      </c>
      <c r="C82" s="8" t="s">
        <v>3045</v>
      </c>
      <c r="D82" s="186" t="n">
        <f aca="false">COUNTIF(Gov_Map!$AB$5:$AB$700,1)</f>
        <v>0</v>
      </c>
      <c r="E82" s="37" t="s">
        <v>3068</v>
      </c>
    </row>
    <row r="83" customFormat="false" ht="15" hidden="false" customHeight="true" outlineLevel="0" collapsed="false">
      <c r="A83" s="36" t="s">
        <v>3069</v>
      </c>
      <c r="B83" s="35" t="s">
        <v>3070</v>
      </c>
      <c r="C83" s="8" t="s">
        <v>3045</v>
      </c>
      <c r="D83" s="186" t="n">
        <f aca="false">COUNTIF(Gov_Map!$AC$5:$AC$700,1)</f>
        <v>0</v>
      </c>
      <c r="E83" s="37" t="s">
        <v>3071</v>
      </c>
    </row>
    <row r="84" customFormat="false" ht="15" hidden="false" customHeight="true" outlineLevel="0" collapsed="false">
      <c r="A84" s="36" t="s">
        <v>3072</v>
      </c>
      <c r="B84" s="36" t="s">
        <v>3073</v>
      </c>
      <c r="C84" s="8" t="s">
        <v>3045</v>
      </c>
      <c r="D84" s="186" t="n">
        <v>0</v>
      </c>
      <c r="E84" s="47" t="s">
        <v>3074</v>
      </c>
    </row>
    <row r="85" customFormat="false" ht="15" hidden="false" customHeight="true" outlineLevel="0" collapsed="false">
      <c r="A85" s="36" t="s">
        <v>3075</v>
      </c>
      <c r="B85" s="35" t="s">
        <v>3076</v>
      </c>
      <c r="C85" s="8" t="s">
        <v>3045</v>
      </c>
      <c r="D85" s="186" t="n">
        <f aca="false">COUNTIF(Gov_Map!$AE$5:$AE$700,1)</f>
        <v>0</v>
      </c>
      <c r="E85" s="37" t="s">
        <v>3049</v>
      </c>
    </row>
    <row r="86" customFormat="false" ht="15" hidden="false" customHeight="true" outlineLevel="0" collapsed="false">
      <c r="A86" s="36" t="s">
        <v>3077</v>
      </c>
      <c r="B86" s="36" t="s">
        <v>3078</v>
      </c>
      <c r="C86" s="8" t="s">
        <v>3045</v>
      </c>
      <c r="D86" s="186" t="n">
        <f aca="false">COUNTIF(SRC_HW!$A$119:$A$400,"&lt;&gt;—")-COUNTIF(SRC_HW!$A$119:$A$400,"")+COUNTIF(SRC_DC!$A$68:$A$400,"&lt;&gt;—")-COUNTIF(SRC_DC!$A$68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$73:$A$400,"&lt;&gt;—")-COUNTIF(SRC_Demand!$A$73:$A$400,"")</f>
        <v>0</v>
      </c>
      <c r="E86" s="47" t="s">
        <v>3079</v>
      </c>
    </row>
    <row r="87" customFormat="false" ht="15" hidden="false" customHeight="true" outlineLevel="0" collapsed="false">
      <c r="A87" s="36" t="s">
        <v>3080</v>
      </c>
      <c r="B87" s="35" t="s">
        <v>3081</v>
      </c>
      <c r="C87" s="36" t="s">
        <v>3082</v>
      </c>
      <c r="D87" s="186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219</v>
      </c>
      <c r="E87" s="37" t="s">
        <v>3083</v>
      </c>
    </row>
    <row r="88" customFormat="false" ht="15" hidden="false" customHeight="true" outlineLevel="0" collapsed="false">
      <c r="A88" s="36" t="s">
        <v>3084</v>
      </c>
      <c r="B88" s="36" t="s">
        <v>3085</v>
      </c>
      <c r="C88" s="36" t="s">
        <v>3082</v>
      </c>
      <c r="D88" s="186" t="n">
        <f aca="false">COUNTIF(Gov_Map!$AD$5:$AD$700,1)</f>
        <v>0</v>
      </c>
      <c r="E88" s="37" t="s">
        <v>3086</v>
      </c>
    </row>
    <row r="89" customFormat="false" ht="15" hidden="false" customHeight="true" outlineLevel="0" collapsed="false">
      <c r="A89" s="36" t="s">
        <v>3087</v>
      </c>
      <c r="B89" s="36" t="s">
        <v>3088</v>
      </c>
      <c r="C89" s="36" t="s">
        <v>3089</v>
      </c>
      <c r="D89" s="186" t="n">
        <f aca="false">COUNTIF(DB_Evidence!$L$5:$L$500,"待判定")</f>
        <v>4</v>
      </c>
      <c r="E89" s="37" t="s">
        <v>3090</v>
      </c>
    </row>
    <row r="90" customFormat="false" ht="15" hidden="false" customHeight="true" outlineLevel="0" collapsed="false">
      <c r="A90" s="36" t="s">
        <v>3091</v>
      </c>
      <c r="B90" s="36" t="s">
        <v>3092</v>
      </c>
      <c r="C90" s="36" t="s">
        <v>3089</v>
      </c>
      <c r="D90" s="186" t="n">
        <f aca="false">COUNTIF(DB_Evidence!$L$5:$L$500,"待 Andy")</f>
        <v>0</v>
      </c>
      <c r="E90" s="37" t="s">
        <v>3090</v>
      </c>
    </row>
    <row r="91" customFormat="false" ht="15" hidden="false" customHeight="true" outlineLevel="0" collapsed="false">
      <c r="A91" s="36" t="s">
        <v>3093</v>
      </c>
      <c r="B91" s="36" t="s">
        <v>3094</v>
      </c>
      <c r="C91" s="36" t="s">
        <v>3089</v>
      </c>
      <c r="D91" s="186" t="n">
        <f aca="false">COUNTIF(L1!$P$5:$P$200,"低於外部區間")+COUNTIF(L1!$P$5:$P$200,"高於外部區間")+COUNTIF(L1!$P$5:$P$200,"差距 &gt;20%")</f>
        <v>17</v>
      </c>
      <c r="E91" s="37" t="s">
        <v>3095</v>
      </c>
    </row>
    <row r="92" customFormat="false" ht="15" hidden="false" customHeight="true" outlineLevel="0" collapsed="false">
      <c r="A92" s="36" t="s">
        <v>3096</v>
      </c>
      <c r="B92" s="35" t="s">
        <v>3097</v>
      </c>
      <c r="C92" s="36" t="s">
        <v>3089</v>
      </c>
      <c r="D92" s="186" t="n">
        <f aca="false">COUNTIF(Gov_Map!$F$5:$F$700,"原始數據（G0-2 保留）")</f>
        <v>14</v>
      </c>
      <c r="E92" s="37" t="s">
        <v>3049</v>
      </c>
    </row>
    <row r="93" customFormat="false" ht="15" hidden="false" customHeight="true" outlineLevel="0" collapsed="false">
      <c r="A93" s="36" t="s">
        <v>3098</v>
      </c>
      <c r="B93" s="36" t="s">
        <v>3099</v>
      </c>
      <c r="C93" s="36" t="s">
        <v>3089</v>
      </c>
      <c r="D93" s="186" t="n">
        <f aca="false">COUNTIF(Gov_Map!$F$5:$F$700,"Derived（待改公式）")</f>
        <v>0</v>
      </c>
      <c r="E93" s="37" t="s">
        <v>3100</v>
      </c>
    </row>
    <row r="94" customFormat="false" ht="15" hidden="false" customHeight="true" outlineLevel="0" collapsed="false">
      <c r="A94" s="36" t="s">
        <v>3101</v>
      </c>
      <c r="B94" s="35" t="s">
        <v>3102</v>
      </c>
      <c r="C94" s="36" t="s">
        <v>3089</v>
      </c>
      <c r="D94" s="186" t="n">
        <f aca="false">COUNTIF(Gov_Map!$M$5:$M$700,"結構選擇（無數值區間）")</f>
        <v>26</v>
      </c>
      <c r="E94" s="37" t="s">
        <v>3049</v>
      </c>
    </row>
    <row r="95" customFormat="false" ht="15" hidden="false" customHeight="true" outlineLevel="0" collapsed="false">
      <c r="A95" s="36" t="s">
        <v>3103</v>
      </c>
      <c r="B95" s="35" t="s">
        <v>3104</v>
      </c>
      <c r="C95" s="36" t="s">
        <v>3089</v>
      </c>
      <c r="D95" s="186" t="n">
        <f aca="false">COUNTIF(Gov_Map!$F$5:$F$700,"原始數據（切片二）")</f>
        <v>3</v>
      </c>
      <c r="E95" s="37" t="s">
        <v>3105</v>
      </c>
    </row>
    <row r="96" customFormat="false" ht="15" hidden="false" customHeight="true" outlineLevel="0" collapsed="false">
      <c r="A96" s="36" t="s">
        <v>3106</v>
      </c>
      <c r="B96" s="35" t="s">
        <v>3107</v>
      </c>
      <c r="C96" s="36" t="s">
        <v>3089</v>
      </c>
      <c r="D96" s="186" t="n">
        <f aca="false">COUNTIF(Gov_Map!$O$5:$O$700,"&lt;&gt;—")-COUNTIF(Gov_Map!$O$5:$O$700,"")</f>
        <v>53</v>
      </c>
      <c r="E96" s="37" t="s">
        <v>3108</v>
      </c>
    </row>
    <row r="97" customFormat="false" ht="15" hidden="false" customHeight="true" outlineLevel="0" collapsed="false">
      <c r="B97" s="8" t="s">
        <v>3109</v>
      </c>
      <c r="D97" s="212" t="n">
        <f aca="false">D74+D75+D76+D77+D78+D79+D80+D81+D82+D83+D84+D85+D86+D104+D105+D110+D114+D119+D120</f>
        <v>0</v>
      </c>
    </row>
    <row r="98" customFormat="false" ht="15" hidden="false" customHeight="true" outlineLevel="0" collapsed="false">
      <c r="B98" s="8" t="s">
        <v>3110</v>
      </c>
      <c r="D98" s="186" t="n">
        <f aca="false">D87+D88+D106+D118</f>
        <v>219</v>
      </c>
    </row>
    <row r="99" customFormat="false" ht="15" hidden="false" customHeight="true" outlineLevel="0" collapsed="false">
      <c r="B99" s="8" t="s">
        <v>3111</v>
      </c>
      <c r="D99" s="186" t="n">
        <f aca="false">D89+D90+D91+D92+D93+D94+D95+D96+D121+D122+D123+D124</f>
        <v>168</v>
      </c>
    </row>
    <row r="100" customFormat="false" ht="15" hidden="false" customHeight="true" outlineLevel="0" collapsed="false">
      <c r="B100" s="47" t="s">
        <v>3112</v>
      </c>
    </row>
    <row r="102" customFormat="false" ht="15" hidden="false" customHeight="true" outlineLevel="0" collapsed="false">
      <c r="A102" s="34" t="s">
        <v>3113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3038</v>
      </c>
      <c r="B103" s="9" t="s">
        <v>3039</v>
      </c>
      <c r="C103" s="9" t="s">
        <v>3040</v>
      </c>
      <c r="D103" s="9" t="s">
        <v>3041</v>
      </c>
      <c r="E103" s="9" t="s">
        <v>3042</v>
      </c>
    </row>
    <row r="104" customFormat="false" ht="15" hidden="false" customHeight="true" outlineLevel="0" collapsed="false">
      <c r="A104" s="36" t="s">
        <v>3114</v>
      </c>
      <c r="B104" s="35" t="s">
        <v>3115</v>
      </c>
      <c r="C104" s="8" t="s">
        <v>3045</v>
      </c>
      <c r="D104" s="186" t="n">
        <f aca="false">IF(ABS(SUM(AL_MixGen)-1)&gt;0.000000001,1,0)</f>
        <v>0</v>
      </c>
      <c r="E104" s="37" t="s">
        <v>3116</v>
      </c>
    </row>
    <row r="105" customFormat="false" ht="15" hidden="false" customHeight="true" outlineLevel="0" collapsed="false">
      <c r="A105" s="36" t="s">
        <v>3117</v>
      </c>
      <c r="B105" s="36" t="s">
        <v>3118</v>
      </c>
      <c r="C105" s="8" t="s">
        <v>3045</v>
      </c>
      <c r="D105" s="186" t="n">
        <f aca="false">SUM(AL_SensCheck)</f>
        <v>0</v>
      </c>
      <c r="E105" s="37" t="s">
        <v>3119</v>
      </c>
    </row>
    <row r="106" customFormat="false" ht="15" hidden="false" customHeight="true" outlineLevel="0" collapsed="false">
      <c r="A106" s="36" t="s">
        <v>3120</v>
      </c>
      <c r="B106" s="36" t="s">
        <v>3121</v>
      </c>
      <c r="C106" s="8" t="s">
        <v>3082</v>
      </c>
      <c r="D106" s="183" t="n">
        <f aca="false">SUMPRODUCT(ISNUMBER(L1!$D$5:$D$200)*ISNUMBER(L1!$E$5:$E$200)*ISNUMBER(L1!$F$5:$F$200)*(((L1!$E$5:$E$200&gt;L1!$D$5:$D$200)+(L1!$D$5:$D$200&gt;L1!$F$5:$F$200))&gt;0))</f>
        <v>0</v>
      </c>
      <c r="E106" s="37" t="s">
        <v>3122</v>
      </c>
    </row>
    <row r="108" customFormat="false" ht="15" hidden="false" customHeight="true" outlineLevel="0" collapsed="false">
      <c r="A108" s="34" t="s">
        <v>3123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3038</v>
      </c>
      <c r="B109" s="9" t="s">
        <v>3039</v>
      </c>
      <c r="C109" s="9" t="s">
        <v>3040</v>
      </c>
      <c r="D109" s="9" t="s">
        <v>3041</v>
      </c>
      <c r="E109" s="9" t="s">
        <v>3042</v>
      </c>
    </row>
    <row r="110" customFormat="false" ht="15" hidden="false" customHeight="true" outlineLevel="0" collapsed="false">
      <c r="A110" s="36" t="s">
        <v>3124</v>
      </c>
      <c r="B110" s="35" t="s">
        <v>3125</v>
      </c>
      <c r="C110" s="8" t="s">
        <v>3045</v>
      </c>
      <c r="D110" s="183" t="n">
        <f aca="false">SUM(Theory_Rev_Prod!C90:Q96)</f>
        <v>0</v>
      </c>
      <c r="E110" s="37" t="s">
        <v>3126</v>
      </c>
    </row>
    <row r="112" customFormat="false" ht="15" hidden="false" customHeight="true" outlineLevel="0" collapsed="false">
      <c r="A112" s="34" t="s">
        <v>3127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3038</v>
      </c>
      <c r="B113" s="9" t="s">
        <v>3039</v>
      </c>
      <c r="C113" s="9" t="s">
        <v>3040</v>
      </c>
      <c r="D113" s="9" t="s">
        <v>3041</v>
      </c>
      <c r="E113" s="9" t="s">
        <v>3042</v>
      </c>
    </row>
    <row r="114" customFormat="false" ht="15" hidden="false" customHeight="true" outlineLevel="0" collapsed="false">
      <c r="A114" s="36" t="s">
        <v>3128</v>
      </c>
      <c r="B114" s="35" t="s">
        <v>3129</v>
      </c>
      <c r="C114" s="8" t="s">
        <v>3045</v>
      </c>
      <c r="D114" s="183" t="n">
        <f aca="false">SUM(Theory_Rev!C96:Q99)</f>
        <v>0</v>
      </c>
      <c r="E114" s="37" t="s">
        <v>3130</v>
      </c>
    </row>
    <row r="116" customFormat="false" ht="15" hidden="false" customHeight="false" outlineLevel="0" collapsed="false">
      <c r="A116" s="68" t="s">
        <v>3131</v>
      </c>
      <c r="B116" s="62"/>
      <c r="C116" s="62"/>
      <c r="D116" s="62"/>
      <c r="E116" s="62"/>
      <c r="F116" s="62"/>
    </row>
    <row r="117" customFormat="false" ht="15" hidden="false" customHeight="false" outlineLevel="0" collapsed="false">
      <c r="A117" s="10" t="s">
        <v>3038</v>
      </c>
      <c r="B117" s="10" t="s">
        <v>3039</v>
      </c>
      <c r="C117" s="10" t="s">
        <v>3040</v>
      </c>
      <c r="D117" s="10" t="s">
        <v>3041</v>
      </c>
      <c r="E117" s="10" t="s">
        <v>3042</v>
      </c>
    </row>
    <row r="118" customFormat="false" ht="58.2" hidden="false" customHeight="false" outlineLevel="0" collapsed="false">
      <c r="A118" s="54" t="s">
        <v>3132</v>
      </c>
      <c r="B118" s="6" t="s">
        <v>3133</v>
      </c>
      <c r="C118" s="54" t="s">
        <v>3082</v>
      </c>
      <c r="D118" s="104" t="n">
        <f aca="false">COUNTIF(Interface!$R$6:$R$310,"—")</f>
        <v>0</v>
      </c>
      <c r="E118" s="51" t="s">
        <v>3134</v>
      </c>
    </row>
    <row r="119" customFormat="false" ht="72.35" hidden="false" customHeight="false" outlineLevel="0" collapsed="false">
      <c r="A119" s="54" t="s">
        <v>3135</v>
      </c>
      <c r="B119" s="6" t="s">
        <v>3136</v>
      </c>
      <c r="C119" s="52" t="s">
        <v>3045</v>
      </c>
      <c r="D119" s="104" t="n">
        <f aca="false">SUMPRODUCT((Interface!$R$6:$R$310="A")*(Interface!$Y$6:$Y$310=1)*(Interface!$X$6:$X$310=0))</f>
        <v>0</v>
      </c>
      <c r="E119" s="51" t="s">
        <v>3137</v>
      </c>
    </row>
    <row r="120" customFormat="false" ht="86.55" hidden="false" customHeight="false" outlineLevel="0" collapsed="false">
      <c r="A120" s="54" t="s">
        <v>3138</v>
      </c>
      <c r="B120" s="5" t="s">
        <v>3139</v>
      </c>
      <c r="C120" s="52" t="s">
        <v>3045</v>
      </c>
      <c r="D120" s="104" t="n">
        <f aca="false">SUM(Interface!C289:Q310)</f>
        <v>0</v>
      </c>
      <c r="E120" s="51" t="s">
        <v>3140</v>
      </c>
    </row>
    <row r="121" customFormat="false" ht="137.3" hidden="false" customHeight="false" outlineLevel="0" collapsed="false">
      <c r="A121" s="54" t="s">
        <v>3141</v>
      </c>
      <c r="B121" s="6" t="s">
        <v>3142</v>
      </c>
      <c r="C121" s="54" t="s">
        <v>3089</v>
      </c>
      <c r="D121" s="104" t="n">
        <f aca="false">IF(AND(ISNUMBER(L1_FleetMargin),ISNUMBER(Theory_Rev!$M$73)),IF(ABS(L1_FleetMargin-Theory_Rev!$M$73)&lt;=0.000000001,0,1),1)</f>
        <v>1</v>
      </c>
      <c r="E121" s="51" t="s">
        <v>3143</v>
      </c>
    </row>
    <row r="122" customFormat="false" ht="108.95" hidden="false" customHeight="false" outlineLevel="0" collapsed="false">
      <c r="A122" s="54" t="s">
        <v>3144</v>
      </c>
      <c r="B122" s="6" t="s">
        <v>3145</v>
      </c>
      <c r="C122" s="54" t="s">
        <v>3089</v>
      </c>
      <c r="D122" s="104" t="n">
        <f aca="false">LB_LiveCount</f>
        <v>50</v>
      </c>
      <c r="E122" s="51" t="s">
        <v>3146</v>
      </c>
    </row>
    <row r="123" customFormat="false" ht="55.2" hidden="false" customHeight="false" outlineLevel="0" collapsed="false">
      <c r="A123" s="54" t="s">
        <v>3147</v>
      </c>
      <c r="B123" s="6" t="s">
        <v>3148</v>
      </c>
      <c r="C123" s="54" t="s">
        <v>3089</v>
      </c>
      <c r="D123" s="104" t="n">
        <f aca="false">COUNTIF(LB_Days,"&gt;90")</f>
        <v>0</v>
      </c>
      <c r="E123" s="51" t="s">
        <v>3149</v>
      </c>
    </row>
    <row r="124" customFormat="false" ht="69.4" hidden="false" customHeight="false" outlineLevel="0" collapsed="false">
      <c r="A124" s="54" t="s">
        <v>3150</v>
      </c>
      <c r="B124" s="6" t="s">
        <v>3151</v>
      </c>
      <c r="C124" s="54" t="s">
        <v>3089</v>
      </c>
      <c r="D124" s="104" t="n">
        <f aca="false">IF(AND(ISNUMBER(L1_GapProduct_Lo),ISNUMBER(L1_GapProduct_Hi),ISNUMBER(L1_ScaleServe)),IF(AND(L1_GapProduct_Lo&lt;=L1_ScaleServe,L1_ScaleServe&lt;=L1_GapProduct_Hi),0,1),1)</f>
        <v>0</v>
      </c>
      <c r="E124" s="51" t="s">
        <v>3152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0" width="9"/>
  </cols>
  <sheetData>
    <row r="1" customFormat="false" ht="19.5" hidden="false" customHeight="true" outlineLevel="0" collapsed="false">
      <c r="A1" s="213" t="s">
        <v>3153</v>
      </c>
    </row>
    <row r="2" customFormat="false" ht="15" hidden="false" customHeight="true" outlineLevel="0" collapsed="false">
      <c r="A2" s="37" t="s">
        <v>3154</v>
      </c>
    </row>
    <row r="4" customFormat="false" ht="43.5" hidden="false" customHeight="true" outlineLevel="0" collapsed="false">
      <c r="A4" s="77" t="s">
        <v>2711</v>
      </c>
      <c r="B4" s="214" t="s">
        <v>3155</v>
      </c>
      <c r="C4" s="214" t="s">
        <v>12</v>
      </c>
      <c r="D4" s="214" t="s">
        <v>2712</v>
      </c>
      <c r="E4" s="214" t="s">
        <v>2713</v>
      </c>
      <c r="F4" s="214" t="s">
        <v>2714</v>
      </c>
      <c r="G4" s="214" t="s">
        <v>3156</v>
      </c>
      <c r="H4" s="77" t="s">
        <v>3157</v>
      </c>
      <c r="I4" s="214" t="s">
        <v>3158</v>
      </c>
      <c r="J4" s="214" t="s">
        <v>3159</v>
      </c>
      <c r="K4" s="214" t="s">
        <v>1115</v>
      </c>
      <c r="L4" s="214" t="s">
        <v>1116</v>
      </c>
      <c r="M4" s="214" t="s">
        <v>3160</v>
      </c>
      <c r="N4" s="214" t="s">
        <v>3161</v>
      </c>
      <c r="O4" s="214" t="s">
        <v>3162</v>
      </c>
      <c r="P4" s="77" t="s">
        <v>2715</v>
      </c>
      <c r="Q4" s="214" t="s">
        <v>3163</v>
      </c>
      <c r="R4" s="77" t="s">
        <v>3164</v>
      </c>
      <c r="S4" s="77" t="s">
        <v>3165</v>
      </c>
      <c r="T4" s="77" t="s">
        <v>2716</v>
      </c>
      <c r="U4" s="214" t="s">
        <v>3166</v>
      </c>
      <c r="V4" s="77" t="s">
        <v>3167</v>
      </c>
      <c r="W4" s="77" t="s">
        <v>3168</v>
      </c>
      <c r="X4" s="77" t="s">
        <v>3169</v>
      </c>
      <c r="Y4" s="77" t="s">
        <v>3170</v>
      </c>
      <c r="Z4" s="77" t="s">
        <v>3171</v>
      </c>
      <c r="AA4" s="77" t="s">
        <v>3172</v>
      </c>
      <c r="AB4" s="77" t="s">
        <v>3173</v>
      </c>
      <c r="AC4" s="77" t="s">
        <v>3174</v>
      </c>
      <c r="AD4" s="77" t="s">
        <v>3175</v>
      </c>
      <c r="AE4" s="77" t="s">
        <v>3176</v>
      </c>
      <c r="AF4" s="77" t="s">
        <v>3177</v>
      </c>
      <c r="AG4" s="77" t="s">
        <v>3178</v>
      </c>
      <c r="AH4" s="77" t="s">
        <v>3179</v>
      </c>
      <c r="AI4" s="77" t="s">
        <v>3180</v>
      </c>
      <c r="AJ4" s="77" t="s">
        <v>3181</v>
      </c>
    </row>
    <row r="5" customFormat="false" ht="15" hidden="false" customHeight="true" outlineLevel="0" collapsed="false">
      <c r="A5" s="36" t="s">
        <v>3182</v>
      </c>
      <c r="B5" s="215" t="s">
        <v>3183</v>
      </c>
      <c r="C5" s="36" t="s">
        <v>3184</v>
      </c>
      <c r="D5" s="36" t="s">
        <v>3055</v>
      </c>
      <c r="E5" s="6" t="s">
        <v>70</v>
      </c>
      <c r="F5" s="36" t="s">
        <v>72</v>
      </c>
      <c r="G5" s="215" t="s">
        <v>3185</v>
      </c>
      <c r="H5" s="36" t="s">
        <v>587</v>
      </c>
      <c r="I5" s="6" t="s">
        <v>587</v>
      </c>
      <c r="J5" s="36" t="s">
        <v>3186</v>
      </c>
      <c r="K5" s="215"/>
      <c r="L5" s="215"/>
      <c r="M5" s="36" t="s">
        <v>587</v>
      </c>
      <c r="N5" s="6" t="s">
        <v>3187</v>
      </c>
      <c r="O5" s="6" t="s">
        <v>587</v>
      </c>
      <c r="P5" s="215" t="s">
        <v>3188</v>
      </c>
      <c r="Q5" s="41" t="n">
        <f aca="false">Inputs!E5</f>
        <v>1</v>
      </c>
      <c r="R5" s="36" t="s">
        <v>587</v>
      </c>
      <c r="S5" s="35" t="str">
        <f aca="false">IF(ISNUMBER($AF5),INDEX(IDX_SrcStat,$AF5),"—")</f>
        <v>—</v>
      </c>
      <c r="T5" s="35" t="str">
        <f aca="false">IF(ISNUMBER($AF5),INDEX(IDX_SrcGrade,$AF5),"—")</f>
        <v>—</v>
      </c>
      <c r="U5" s="35" t="s">
        <v>3189</v>
      </c>
      <c r="V5" s="186" t="n">
        <f aca="false">IF(AND($F5="原始數據",$U5&lt;&gt;"連結 SRC"),1,0)</f>
        <v>0</v>
      </c>
      <c r="W5" s="186" t="n">
        <f aca="false">IF(AND($F5="Analogy",OR($H5="—",$H5="")),1,0)</f>
        <v>0</v>
      </c>
      <c r="X5" s="186" t="n">
        <f aca="false">IF(AND(OR($F5="Analogy",$F5="Assumed"),$G5&lt;&gt;"低",$G5&lt;&gt;"高",NOT(ISNUMBER($K5)),NOT(ISNUMBER($L5)),OR($M5="—",$M5="")),1,0)</f>
        <v>0</v>
      </c>
      <c r="Y5" s="186" t="n">
        <f aca="false">IF(AND(OR($F5="Analogy",$F5="Assumed",$F5="Derived（待改公式）",$F5="Derived（公式）"),OR($N5="—",$N5="",$N5=0)),1,0)</f>
        <v>0</v>
      </c>
      <c r="Z5" s="186" t="n">
        <f aca="false">IF(AND($F5="Decision",OR($J5="—",$J5="")),1,0)</f>
        <v>0</v>
      </c>
      <c r="AA5" s="183" t="n">
        <f aca="false">IF(OR($J5="—",$J5=""),0,IF(COUNTIF(Decisions!$A$5:$A$300,$J5)=0,1,0))</f>
        <v>0</v>
      </c>
      <c r="AB5" s="186" t="n">
        <f aca="false">IF(AND($F5="原始數據",$S5&lt;&gt;"Active"),1,0)</f>
        <v>0</v>
      </c>
      <c r="AC5" s="186" t="n">
        <f aca="false">IF(AND(ISNUMBER($K5),ISNUMBER($L5),ISNUMBER($Q5)),IF(OR($Q5&lt;MIN($K5,$L5),$Q5&gt;MAX($K5,$L5)),1,0),0)</f>
        <v>0</v>
      </c>
      <c r="AD5" s="186" t="n">
        <f aca="false">IF(AND(ISNUMBER($T5),$P5="高"),IF($T5=3,1,0),0)</f>
        <v>0</v>
      </c>
      <c r="AE5" s="186" t="n">
        <f aca="false">IF($S5="不存在",1,0)</f>
        <v>0</v>
      </c>
      <c r="AF5" s="35" t="str">
        <f aca="false">IF(OR($H5="—",$H5=""),"—",MATCH($H5,IDX_SrcID,0))</f>
        <v>—</v>
      </c>
      <c r="AG5" s="104" t="n">
        <f aca="false">IF(AND($P5="高",OR($AD5=1,$X5=1)),1,0)</f>
        <v>0</v>
      </c>
      <c r="AH5" s="104" t="n">
        <f aca="false">IF(AND($P5="高",$AG5=0,OR($F5&lt;&gt;"原始數據",$T5&lt;&gt;1)),1,0)</f>
        <v>0</v>
      </c>
      <c r="AI5" s="53" t="str">
        <f aca="false">IF(AND($P5="高",ISNUMBER($AF5)),INDEX(IDX_SrcDate,$AF5),"—")</f>
        <v>—</v>
      </c>
      <c r="AJ5" s="104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6" t="s">
        <v>3190</v>
      </c>
      <c r="B6" s="215" t="s">
        <v>3183</v>
      </c>
      <c r="C6" s="36" t="s">
        <v>3184</v>
      </c>
      <c r="D6" s="36" t="s">
        <v>3057</v>
      </c>
      <c r="E6" s="19" t="s">
        <v>74</v>
      </c>
      <c r="F6" s="36" t="s">
        <v>72</v>
      </c>
      <c r="G6" s="215" t="s">
        <v>3185</v>
      </c>
      <c r="H6" s="36" t="s">
        <v>587</v>
      </c>
      <c r="I6" s="6" t="s">
        <v>587</v>
      </c>
      <c r="J6" s="36" t="s">
        <v>3191</v>
      </c>
      <c r="K6" s="215"/>
      <c r="L6" s="215"/>
      <c r="M6" s="36" t="s">
        <v>587</v>
      </c>
      <c r="N6" s="6" t="s">
        <v>3192</v>
      </c>
      <c r="O6" s="6" t="s">
        <v>587</v>
      </c>
      <c r="P6" s="215" t="s">
        <v>3188</v>
      </c>
      <c r="Q6" s="41" t="n">
        <f aca="false">Inputs!E6</f>
        <v>2</v>
      </c>
      <c r="R6" s="36" t="s">
        <v>587</v>
      </c>
      <c r="S6" s="35" t="str">
        <f aca="false">IF(ISNUMBER($AF6),INDEX(IDX_SrcStat,$AF6),"—")</f>
        <v>—</v>
      </c>
      <c r="T6" s="35" t="str">
        <f aca="false">IF(ISNUMBER($AF6),INDEX(IDX_SrcGrade,$AF6),"—")</f>
        <v>—</v>
      </c>
      <c r="U6" s="35" t="s">
        <v>3189</v>
      </c>
      <c r="V6" s="186" t="n">
        <f aca="false">IF(AND($F6="原始數據",$U6&lt;&gt;"連結 SRC"),1,0)</f>
        <v>0</v>
      </c>
      <c r="W6" s="186" t="n">
        <f aca="false">IF(AND($F6="Analogy",OR($H6="—",$H6="")),1,0)</f>
        <v>0</v>
      </c>
      <c r="X6" s="186" t="n">
        <f aca="false">IF(AND(OR($F6="Analogy",$F6="Assumed"),$G6&lt;&gt;"低",$G6&lt;&gt;"高",NOT(ISNUMBER($K6)),NOT(ISNUMBER($L6)),OR($M6="—",$M6="")),1,0)</f>
        <v>0</v>
      </c>
      <c r="Y6" s="186" t="n">
        <f aca="false">IF(AND(OR($F6="Analogy",$F6="Assumed",$F6="Derived（待改公式）",$F6="Derived（公式）"),OR($N6="—",$N6="",$N6=0)),1,0)</f>
        <v>0</v>
      </c>
      <c r="Z6" s="186" t="n">
        <f aca="false">IF(AND($F6="Decision",OR($J6="—",$J6="")),1,0)</f>
        <v>0</v>
      </c>
      <c r="AA6" s="183" t="n">
        <f aca="false">IF(OR($J6="—",$J6=""),0,IF(COUNTIF(Decisions!$A$5:$A$300,$J6)=0,1,0))</f>
        <v>0</v>
      </c>
      <c r="AB6" s="186" t="n">
        <f aca="false">IF(AND($F6="原始數據",$S6&lt;&gt;"Active"),1,0)</f>
        <v>0</v>
      </c>
      <c r="AC6" s="186" t="n">
        <f aca="false">IF(AND(ISNUMBER($K6),ISNUMBER($L6),ISNUMBER($Q6)),IF(OR($Q6&lt;MIN($K6,$L6),$Q6&gt;MAX($K6,$L6)),1,0),0)</f>
        <v>0</v>
      </c>
      <c r="AD6" s="186" t="n">
        <f aca="false">IF(AND(ISNUMBER($T6),$P6="高"),IF($T6=3,1,0),0)</f>
        <v>0</v>
      </c>
      <c r="AE6" s="186" t="n">
        <f aca="false">IF($S6="不存在",1,0)</f>
        <v>0</v>
      </c>
      <c r="AF6" s="35" t="str">
        <f aca="false">IF(OR($H6="—",$H6=""),"—",MATCH($H6,IDX_SrcID,0))</f>
        <v>—</v>
      </c>
      <c r="AG6" s="104" t="n">
        <f aca="false">IF(AND($P6="高",OR($AD6=1,$X6=1)),1,0)</f>
        <v>0</v>
      </c>
      <c r="AH6" s="104" t="n">
        <f aca="false">IF(AND($P6="高",$AG6=0,OR($F6&lt;&gt;"原始數據",$T6&lt;&gt;1)),1,0)</f>
        <v>0</v>
      </c>
      <c r="AI6" s="53" t="str">
        <f aca="false">IF(AND($P6="高",ISNUMBER($AF6)),INDEX(IDX_SrcDate,$AF6),"—")</f>
        <v>—</v>
      </c>
      <c r="AJ6" s="104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6" t="s">
        <v>3193</v>
      </c>
      <c r="B7" s="215" t="s">
        <v>3183</v>
      </c>
      <c r="C7" s="36" t="s">
        <v>3184</v>
      </c>
      <c r="D7" s="36" t="s">
        <v>3063</v>
      </c>
      <c r="E7" s="19" t="s">
        <v>78</v>
      </c>
      <c r="F7" s="36" t="s">
        <v>80</v>
      </c>
      <c r="G7" s="215" t="s">
        <v>65</v>
      </c>
      <c r="H7" s="36" t="s">
        <v>587</v>
      </c>
      <c r="I7" s="6" t="s">
        <v>587</v>
      </c>
      <c r="J7" s="36" t="s">
        <v>587</v>
      </c>
      <c r="K7" s="179" t="n">
        <f aca="false">Sensitivity!$X$8</f>
        <v>0.05</v>
      </c>
      <c r="L7" s="179" t="n">
        <f aca="false">Sensitivity!$Y$8</f>
        <v>0.12</v>
      </c>
      <c r="M7" s="36" t="s">
        <v>3194</v>
      </c>
      <c r="N7" s="216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587</v>
      </c>
      <c r="P7" s="215" t="s">
        <v>1115</v>
      </c>
      <c r="Q7" s="179" t="n">
        <f aca="false">Inputs!E8</f>
        <v>0.08</v>
      </c>
      <c r="R7" s="36" t="s">
        <v>587</v>
      </c>
      <c r="S7" s="35" t="str">
        <f aca="false">IF(ISNUMBER($AF7),INDEX(IDX_SrcStat,$AF7),"—")</f>
        <v>—</v>
      </c>
      <c r="T7" s="35" t="str">
        <f aca="false">IF(ISNUMBER($AF7),INDEX(IDX_SrcGrade,$AF7),"—")</f>
        <v>—</v>
      </c>
      <c r="U7" s="35" t="s">
        <v>3189</v>
      </c>
      <c r="V7" s="186" t="n">
        <f aca="false">IF(AND($F7="原始數據",$U7&lt;&gt;"連結 SRC"),1,0)</f>
        <v>0</v>
      </c>
      <c r="W7" s="186" t="n">
        <f aca="false">IF(AND($F7="Analogy",OR($H7="—",$H7="")),1,0)</f>
        <v>0</v>
      </c>
      <c r="X7" s="186" t="n">
        <f aca="false">IF(AND(OR($F7="Analogy",$F7="Assumed"),$G7&lt;&gt;"低",$G7&lt;&gt;"高",NOT(ISNUMBER($K7)),NOT(ISNUMBER($L7)),OR($M7="—",$M7="")),1,0)</f>
        <v>0</v>
      </c>
      <c r="Y7" s="186" t="n">
        <f aca="false">IF(AND(OR($F7="Analogy",$F7="Assumed",$F7="Derived（待改公式）",$F7="Derived（公式）"),OR($N7="—",$N7="",$N7=0)),1,0)</f>
        <v>0</v>
      </c>
      <c r="Z7" s="186" t="n">
        <f aca="false">IF(AND($F7="Decision",OR($J7="—",$J7="")),1,0)</f>
        <v>0</v>
      </c>
      <c r="AA7" s="183" t="n">
        <f aca="false">IF(OR($J7="—",$J7=""),0,IF(COUNTIF(Decisions!$A$5:$A$300,$J7)=0,1,0))</f>
        <v>0</v>
      </c>
      <c r="AB7" s="186" t="n">
        <f aca="false">IF(AND($F7="原始數據",$S7&lt;&gt;"Active"),1,0)</f>
        <v>0</v>
      </c>
      <c r="AC7" s="186" t="n">
        <f aca="false">IF(AND(ISNUMBER($K7),ISNUMBER($L7),ISNUMBER($Q7)),IF(OR($Q7&lt;MIN($K7,$L7),$Q7&gt;MAX($K7,$L7)),1,0),0)</f>
        <v>0</v>
      </c>
      <c r="AD7" s="186" t="n">
        <f aca="false">IF(AND(ISNUMBER($T7),$P7="高"),IF($T7=3,1,0),0)</f>
        <v>0</v>
      </c>
      <c r="AE7" s="186" t="n">
        <f aca="false">IF($S7="不存在",1,0)</f>
        <v>0</v>
      </c>
      <c r="AF7" s="35" t="str">
        <f aca="false">IF(OR($H7="—",$H7=""),"—",MATCH($H7,IDX_SrcID,0))</f>
        <v>—</v>
      </c>
      <c r="AG7" s="104" t="n">
        <f aca="false">IF(AND($P7="高",OR($AD7=1,$X7=1)),1,0)</f>
        <v>0</v>
      </c>
      <c r="AH7" s="104" t="n">
        <f aca="false">IF(AND($P7="高",$AG7=0,OR($F7&lt;&gt;"原始數據",$T7&lt;&gt;1)),1,0)</f>
        <v>0</v>
      </c>
      <c r="AI7" s="53" t="str">
        <f aca="false">IF(AND($P7="高",ISNUMBER($AF7)),INDEX(IDX_SrcDate,$AF7),"—")</f>
        <v>—</v>
      </c>
      <c r="AJ7" s="104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6" t="s">
        <v>3195</v>
      </c>
      <c r="B8" s="215" t="s">
        <v>3183</v>
      </c>
      <c r="C8" s="36" t="s">
        <v>3184</v>
      </c>
      <c r="D8" s="36" t="s">
        <v>3066</v>
      </c>
      <c r="E8" s="6" t="s">
        <v>82</v>
      </c>
      <c r="F8" s="36" t="s">
        <v>80</v>
      </c>
      <c r="G8" s="215" t="s">
        <v>65</v>
      </c>
      <c r="H8" s="36" t="s">
        <v>587</v>
      </c>
      <c r="I8" s="6" t="s">
        <v>587</v>
      </c>
      <c r="J8" s="36" t="s">
        <v>587</v>
      </c>
      <c r="K8" s="175" t="n">
        <f aca="false">Inputs!$D$9</f>
        <v>1.1</v>
      </c>
      <c r="L8" s="175" t="n">
        <f aca="false">Inputs!$F$9</f>
        <v>1.3</v>
      </c>
      <c r="M8" s="36" t="s">
        <v>587</v>
      </c>
      <c r="N8" s="216" t="str">
        <f aca="false">Inputs!$H$9&amp;" ｜補充旗標（IF 全欄分段，非分段依據）：高"</f>
        <v>液冷 AI 設施；v4＝1.2。S14 ｜補充旗標（IF 全欄分段，非分段依據）：高</v>
      </c>
      <c r="O8" s="6" t="s">
        <v>3196</v>
      </c>
      <c r="P8" s="215" t="s">
        <v>1115</v>
      </c>
      <c r="Q8" s="175" t="n">
        <f aca="false">Inputs!E9</f>
        <v>1.2</v>
      </c>
      <c r="R8" s="36" t="s">
        <v>587</v>
      </c>
      <c r="S8" s="35" t="str">
        <f aca="false">IF(ISNUMBER($AF8),INDEX(IDX_SrcStat,$AF8),"—")</f>
        <v>—</v>
      </c>
      <c r="T8" s="35" t="str">
        <f aca="false">IF(ISNUMBER($AF8),INDEX(IDX_SrcGrade,$AF8),"—")</f>
        <v>—</v>
      </c>
      <c r="U8" s="35" t="s">
        <v>3189</v>
      </c>
      <c r="V8" s="186" t="n">
        <f aca="false">IF(AND($F8="原始數據",$U8&lt;&gt;"連結 SRC"),1,0)</f>
        <v>0</v>
      </c>
      <c r="W8" s="186" t="n">
        <f aca="false">IF(AND($F8="Analogy",OR($H8="—",$H8="")),1,0)</f>
        <v>0</v>
      </c>
      <c r="X8" s="186" t="n">
        <f aca="false">IF(AND(OR($F8="Analogy",$F8="Assumed"),$G8&lt;&gt;"低",$G8&lt;&gt;"高",NOT(ISNUMBER($K8)),NOT(ISNUMBER($L8)),OR($M8="—",$M8="")),1,0)</f>
        <v>0</v>
      </c>
      <c r="Y8" s="186" t="n">
        <f aca="false">IF(AND(OR($F8="Analogy",$F8="Assumed",$F8="Derived（待改公式）",$F8="Derived（公式）"),OR($N8="—",$N8="",$N8=0)),1,0)</f>
        <v>0</v>
      </c>
      <c r="Z8" s="186" t="n">
        <f aca="false">IF(AND($F8="Decision",OR($J8="—",$J8="")),1,0)</f>
        <v>0</v>
      </c>
      <c r="AA8" s="183" t="n">
        <f aca="false">IF(OR($J8="—",$J8=""),0,IF(COUNTIF(Decisions!$A$5:$A$300,$J8)=0,1,0))</f>
        <v>0</v>
      </c>
      <c r="AB8" s="186" t="n">
        <f aca="false">IF(AND($F8="原始數據",$S8&lt;&gt;"Active"),1,0)</f>
        <v>0</v>
      </c>
      <c r="AC8" s="186" t="n">
        <f aca="false">IF(AND(ISNUMBER($K8),ISNUMBER($L8),ISNUMBER($Q8)),IF(OR($Q8&lt;MIN($K8,$L8),$Q8&gt;MAX($K8,$L8)),1,0),0)</f>
        <v>0</v>
      </c>
      <c r="AD8" s="186" t="n">
        <f aca="false">IF(AND(ISNUMBER($T8),$P8="高"),IF($T8=3,1,0),0)</f>
        <v>0</v>
      </c>
      <c r="AE8" s="186" t="n">
        <f aca="false">IF($S8="不存在",1,0)</f>
        <v>0</v>
      </c>
      <c r="AF8" s="35" t="str">
        <f aca="false">IF(OR($H8="—",$H8=""),"—",MATCH($H8,IDX_SrcID,0))</f>
        <v>—</v>
      </c>
      <c r="AG8" s="104" t="n">
        <f aca="false">IF(AND($P8="高",OR($AD8=1,$X8=1)),1,0)</f>
        <v>0</v>
      </c>
      <c r="AH8" s="104" t="n">
        <f aca="false">IF(AND($P8="高",$AG8=0,OR($F8&lt;&gt;"原始數據",$T8&lt;&gt;1)),1,0)</f>
        <v>0</v>
      </c>
      <c r="AI8" s="53" t="str">
        <f aca="false">IF(AND($P8="高",ISNUMBER($AF8)),INDEX(IDX_SrcDate,$AF8),"—")</f>
        <v>—</v>
      </c>
      <c r="AJ8" s="104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6" t="s">
        <v>3197</v>
      </c>
      <c r="B9" s="215" t="s">
        <v>3183</v>
      </c>
      <c r="C9" s="36" t="s">
        <v>3184</v>
      </c>
      <c r="D9" s="36" t="s">
        <v>3198</v>
      </c>
      <c r="E9" s="6" t="s">
        <v>82</v>
      </c>
      <c r="F9" s="36" t="s">
        <v>80</v>
      </c>
      <c r="G9" s="215" t="s">
        <v>1115</v>
      </c>
      <c r="H9" s="36" t="s">
        <v>587</v>
      </c>
      <c r="I9" s="6" t="s">
        <v>587</v>
      </c>
      <c r="J9" s="36" t="s">
        <v>587</v>
      </c>
      <c r="K9" s="215"/>
      <c r="L9" s="215"/>
      <c r="M9" s="36" t="s">
        <v>587</v>
      </c>
      <c r="N9" s="216" t="str">
        <f aca="false">Inputs!$H$9&amp;" ｜補充旗標（IF 全欄分段，非分段依據）：高"</f>
        <v>液冷 AI 設施；v4＝1.2。S14 ｜補充旗標（IF 全欄分段，非分段依據）：高</v>
      </c>
      <c r="O9" s="6" t="s">
        <v>3196</v>
      </c>
      <c r="P9" s="215" t="s">
        <v>1115</v>
      </c>
      <c r="Q9" s="175" t="n">
        <f aca="false">Inputs!D9</f>
        <v>1.1</v>
      </c>
      <c r="R9" s="36" t="s">
        <v>587</v>
      </c>
      <c r="S9" s="35" t="str">
        <f aca="false">IF(ISNUMBER($AF9),INDEX(IDX_SrcStat,$AF9),"—")</f>
        <v>—</v>
      </c>
      <c r="T9" s="35" t="str">
        <f aca="false">IF(ISNUMBER($AF9),INDEX(IDX_SrcGrade,$AF9),"—")</f>
        <v>—</v>
      </c>
      <c r="U9" s="35" t="s">
        <v>3189</v>
      </c>
      <c r="V9" s="186" t="n">
        <f aca="false">IF(AND($F9="原始數據",$U9&lt;&gt;"連結 SRC"),1,0)</f>
        <v>0</v>
      </c>
      <c r="W9" s="186" t="n">
        <f aca="false">IF(AND($F9="Analogy",OR($H9="—",$H9="")),1,0)</f>
        <v>0</v>
      </c>
      <c r="X9" s="186" t="n">
        <f aca="false">IF(AND(OR($F9="Analogy",$F9="Assumed"),$G9&lt;&gt;"低",$G9&lt;&gt;"高",NOT(ISNUMBER($K9)),NOT(ISNUMBER($L9)),OR($M9="—",$M9="")),1,0)</f>
        <v>0</v>
      </c>
      <c r="Y9" s="186" t="n">
        <f aca="false">IF(AND(OR($F9="Analogy",$F9="Assumed",$F9="Derived（待改公式）",$F9="Derived（公式）"),OR($N9="—",$N9="",$N9=0)),1,0)</f>
        <v>0</v>
      </c>
      <c r="Z9" s="186" t="n">
        <f aca="false">IF(AND($F9="Decision",OR($J9="—",$J9="")),1,0)</f>
        <v>0</v>
      </c>
      <c r="AA9" s="183" t="n">
        <f aca="false">IF(OR($J9="—",$J9=""),0,IF(COUNTIF(Decisions!$A$5:$A$300,$J9)=0,1,0))</f>
        <v>0</v>
      </c>
      <c r="AB9" s="186" t="n">
        <f aca="false">IF(AND($F9="原始數據",$S9&lt;&gt;"Active"),1,0)</f>
        <v>0</v>
      </c>
      <c r="AC9" s="186" t="n">
        <f aca="false">IF(AND(ISNUMBER($K9),ISNUMBER($L9),ISNUMBER($Q9)),IF(OR($Q9&lt;MIN($K9,$L9),$Q9&gt;MAX($K9,$L9)),1,0),0)</f>
        <v>0</v>
      </c>
      <c r="AD9" s="186" t="n">
        <f aca="false">IF(AND(ISNUMBER($T9),$P9="高"),IF($T9=3,1,0),0)</f>
        <v>0</v>
      </c>
      <c r="AE9" s="186" t="n">
        <f aca="false">IF($S9="不存在",1,0)</f>
        <v>0</v>
      </c>
      <c r="AF9" s="35" t="str">
        <f aca="false">IF(OR($H9="—",$H9=""),"—",MATCH($H9,IDX_SrcID,0))</f>
        <v>—</v>
      </c>
      <c r="AG9" s="104" t="n">
        <f aca="false">IF(AND($P9="高",OR($AD9=1,$X9=1)),1,0)</f>
        <v>0</v>
      </c>
      <c r="AH9" s="104" t="n">
        <f aca="false">IF(AND($P9="高",$AG9=0,OR($F9&lt;&gt;"原始數據",$T9&lt;&gt;1)),1,0)</f>
        <v>0</v>
      </c>
      <c r="AI9" s="53" t="str">
        <f aca="false">IF(AND($P9="高",ISNUMBER($AF9)),INDEX(IDX_SrcDate,$AF9),"—")</f>
        <v>—</v>
      </c>
      <c r="AJ9" s="104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6" t="s">
        <v>3199</v>
      </c>
      <c r="B10" s="215" t="s">
        <v>3183</v>
      </c>
      <c r="C10" s="36" t="s">
        <v>3184</v>
      </c>
      <c r="D10" s="36" t="s">
        <v>3200</v>
      </c>
      <c r="E10" s="6" t="s">
        <v>82</v>
      </c>
      <c r="F10" s="36" t="s">
        <v>80</v>
      </c>
      <c r="G10" s="215" t="s">
        <v>1116</v>
      </c>
      <c r="H10" s="36" t="s">
        <v>587</v>
      </c>
      <c r="I10" s="6" t="s">
        <v>587</v>
      </c>
      <c r="J10" s="36" t="s">
        <v>587</v>
      </c>
      <c r="K10" s="215"/>
      <c r="L10" s="215"/>
      <c r="M10" s="36" t="s">
        <v>587</v>
      </c>
      <c r="N10" s="216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3196</v>
      </c>
      <c r="P10" s="215" t="s">
        <v>1115</v>
      </c>
      <c r="Q10" s="175" t="n">
        <f aca="false">Inputs!F9</f>
        <v>1.3</v>
      </c>
      <c r="R10" s="36" t="s">
        <v>587</v>
      </c>
      <c r="S10" s="35" t="str">
        <f aca="false">IF(ISNUMBER($AF10),INDEX(IDX_SrcStat,$AF10),"—")</f>
        <v>—</v>
      </c>
      <c r="T10" s="35" t="str">
        <f aca="false">IF(ISNUMBER($AF10),INDEX(IDX_SrcGrade,$AF10),"—")</f>
        <v>—</v>
      </c>
      <c r="U10" s="35" t="s">
        <v>3189</v>
      </c>
      <c r="V10" s="186" t="n">
        <f aca="false">IF(AND($F10="原始數據",$U10&lt;&gt;"連結 SRC"),1,0)</f>
        <v>0</v>
      </c>
      <c r="W10" s="186" t="n">
        <f aca="false">IF(AND($F10="Analogy",OR($H10="—",$H10="")),1,0)</f>
        <v>0</v>
      </c>
      <c r="X10" s="186" t="n">
        <f aca="false">IF(AND(OR($F10="Analogy",$F10="Assumed"),$G10&lt;&gt;"低",$G10&lt;&gt;"高",NOT(ISNUMBER($K10)),NOT(ISNUMBER($L10)),OR($M10="—",$M10="")),1,0)</f>
        <v>0</v>
      </c>
      <c r="Y10" s="186" t="n">
        <f aca="false">IF(AND(OR($F10="Analogy",$F10="Assumed",$F10="Derived（待改公式）",$F10="Derived（公式）"),OR($N10="—",$N10="",$N10=0)),1,0)</f>
        <v>0</v>
      </c>
      <c r="Z10" s="186" t="n">
        <f aca="false">IF(AND($F10="Decision",OR($J10="—",$J10="")),1,0)</f>
        <v>0</v>
      </c>
      <c r="AA10" s="183" t="n">
        <f aca="false">IF(OR($J10="—",$J10=""),0,IF(COUNTIF(Decisions!$A$5:$A$300,$J10)=0,1,0))</f>
        <v>0</v>
      </c>
      <c r="AB10" s="186" t="n">
        <f aca="false">IF(AND($F10="原始數據",$S10&lt;&gt;"Active"),1,0)</f>
        <v>0</v>
      </c>
      <c r="AC10" s="186" t="n">
        <f aca="false">IF(AND(ISNUMBER($K10),ISNUMBER($L10),ISNUMBER($Q10)),IF(OR($Q10&lt;MIN($K10,$L10),$Q10&gt;MAX($K10,$L10)),1,0),0)</f>
        <v>0</v>
      </c>
      <c r="AD10" s="186" t="n">
        <f aca="false">IF(AND(ISNUMBER($T10),$P10="高"),IF($T10=3,1,0),0)</f>
        <v>0</v>
      </c>
      <c r="AE10" s="186" t="n">
        <f aca="false">IF($S10="不存在",1,0)</f>
        <v>0</v>
      </c>
      <c r="AF10" s="35" t="str">
        <f aca="false">IF(OR($H10="—",$H10=""),"—",MATCH($H10,IDX_SrcID,0))</f>
        <v>—</v>
      </c>
      <c r="AG10" s="104" t="n">
        <f aca="false">IF(AND($P10="高",OR($AD10=1,$X10=1)),1,0)</f>
        <v>0</v>
      </c>
      <c r="AH10" s="104" t="n">
        <f aca="false">IF(AND($P10="高",$AG10=0,OR($F10&lt;&gt;"原始數據",$T10&lt;&gt;1)),1,0)</f>
        <v>0</v>
      </c>
      <c r="AI10" s="53" t="str">
        <f aca="false">IF(AND($P10="高",ISNUMBER($AF10)),INDEX(IDX_SrcDate,$AF10),"—")</f>
        <v>—</v>
      </c>
      <c r="AJ10" s="104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6" t="s">
        <v>3201</v>
      </c>
      <c r="B11" s="215" t="s">
        <v>3183</v>
      </c>
      <c r="C11" s="36" t="s">
        <v>3184</v>
      </c>
      <c r="D11" s="36" t="s">
        <v>3069</v>
      </c>
      <c r="E11" s="19" t="s">
        <v>86</v>
      </c>
      <c r="F11" s="36" t="s">
        <v>80</v>
      </c>
      <c r="G11" s="215" t="s">
        <v>65</v>
      </c>
      <c r="H11" s="36" t="s">
        <v>587</v>
      </c>
      <c r="I11" s="6" t="s">
        <v>587</v>
      </c>
      <c r="J11" s="36" t="s">
        <v>587</v>
      </c>
      <c r="K11" s="179" t="n">
        <f aca="false">Inputs!$D$10</f>
        <v>0.7</v>
      </c>
      <c r="L11" s="179" t="n">
        <f aca="false">Inputs!$F$10</f>
        <v>0.9</v>
      </c>
      <c r="M11" s="36" t="s">
        <v>587</v>
      </c>
      <c r="N11" s="216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587</v>
      </c>
      <c r="P11" s="215" t="s">
        <v>1115</v>
      </c>
      <c r="Q11" s="179" t="n">
        <f aca="false">Inputs!E10</f>
        <v>0.8</v>
      </c>
      <c r="R11" s="36" t="s">
        <v>587</v>
      </c>
      <c r="S11" s="35" t="str">
        <f aca="false">IF(ISNUMBER($AF11),INDEX(IDX_SrcStat,$AF11),"—")</f>
        <v>—</v>
      </c>
      <c r="T11" s="35" t="str">
        <f aca="false">IF(ISNUMBER($AF11),INDEX(IDX_SrcGrade,$AF11),"—")</f>
        <v>—</v>
      </c>
      <c r="U11" s="35" t="s">
        <v>3189</v>
      </c>
      <c r="V11" s="186" t="n">
        <f aca="false">IF(AND($F11="原始數據",$U11&lt;&gt;"連結 SRC"),1,0)</f>
        <v>0</v>
      </c>
      <c r="W11" s="186" t="n">
        <f aca="false">IF(AND($F11="Analogy",OR($H11="—",$H11="")),1,0)</f>
        <v>0</v>
      </c>
      <c r="X11" s="186" t="n">
        <f aca="false">IF(AND(OR($F11="Analogy",$F11="Assumed"),$G11&lt;&gt;"低",$G11&lt;&gt;"高",NOT(ISNUMBER($K11)),NOT(ISNUMBER($L11)),OR($M11="—",$M11="")),1,0)</f>
        <v>0</v>
      </c>
      <c r="Y11" s="186" t="n">
        <f aca="false">IF(AND(OR($F11="Analogy",$F11="Assumed",$F11="Derived（待改公式）",$F11="Derived（公式）"),OR($N11="—",$N11="",$N11=0)),1,0)</f>
        <v>0</v>
      </c>
      <c r="Z11" s="186" t="n">
        <f aca="false">IF(AND($F11="Decision",OR($J11="—",$J11="")),1,0)</f>
        <v>0</v>
      </c>
      <c r="AA11" s="183" t="n">
        <f aca="false">IF(OR($J11="—",$J11=""),0,IF(COUNTIF(Decisions!$A$5:$A$300,$J11)=0,1,0))</f>
        <v>0</v>
      </c>
      <c r="AB11" s="186" t="n">
        <f aca="false">IF(AND($F11="原始數據",$S11&lt;&gt;"Active"),1,0)</f>
        <v>0</v>
      </c>
      <c r="AC11" s="186" t="n">
        <f aca="false">IF(AND(ISNUMBER($K11),ISNUMBER($L11),ISNUMBER($Q11)),IF(OR($Q11&lt;MIN($K11,$L11),$Q11&gt;MAX($K11,$L11)),1,0),0)</f>
        <v>0</v>
      </c>
      <c r="AD11" s="186" t="n">
        <f aca="false">IF(AND(ISNUMBER($T11),$P11="高"),IF($T11=3,1,0),0)</f>
        <v>0</v>
      </c>
      <c r="AE11" s="186" t="n">
        <f aca="false">IF($S11="不存在",1,0)</f>
        <v>0</v>
      </c>
      <c r="AF11" s="35" t="str">
        <f aca="false">IF(OR($H11="—",$H11=""),"—",MATCH($H11,IDX_SrcID,0))</f>
        <v>—</v>
      </c>
      <c r="AG11" s="104" t="n">
        <f aca="false">IF(AND($P11="高",OR($AD11=1,$X11=1)),1,0)</f>
        <v>0</v>
      </c>
      <c r="AH11" s="104" t="n">
        <f aca="false">IF(AND($P11="高",$AG11=0,OR($F11&lt;&gt;"原始數據",$T11&lt;&gt;1)),1,0)</f>
        <v>0</v>
      </c>
      <c r="AI11" s="53" t="str">
        <f aca="false">IF(AND($P11="高",ISNUMBER($AF11)),INDEX(IDX_SrcDate,$AF11),"—")</f>
        <v>—</v>
      </c>
      <c r="AJ11" s="104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6" t="s">
        <v>3202</v>
      </c>
      <c r="B12" s="215" t="s">
        <v>3183</v>
      </c>
      <c r="C12" s="36" t="s">
        <v>3184</v>
      </c>
      <c r="D12" s="36" t="s">
        <v>3203</v>
      </c>
      <c r="E12" s="19" t="s">
        <v>86</v>
      </c>
      <c r="F12" s="36" t="s">
        <v>80</v>
      </c>
      <c r="G12" s="215" t="s">
        <v>1115</v>
      </c>
      <c r="H12" s="36" t="s">
        <v>587</v>
      </c>
      <c r="I12" s="6" t="s">
        <v>587</v>
      </c>
      <c r="J12" s="36" t="s">
        <v>587</v>
      </c>
      <c r="K12" s="215"/>
      <c r="L12" s="215"/>
      <c r="M12" s="36" t="s">
        <v>587</v>
      </c>
      <c r="N12" s="216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587</v>
      </c>
      <c r="P12" s="215" t="s">
        <v>1115</v>
      </c>
      <c r="Q12" s="179" t="n">
        <f aca="false">Inputs!D10</f>
        <v>0.7</v>
      </c>
      <c r="R12" s="36" t="s">
        <v>587</v>
      </c>
      <c r="S12" s="35" t="str">
        <f aca="false">IF(ISNUMBER($AF12),INDEX(IDX_SrcStat,$AF12),"—")</f>
        <v>—</v>
      </c>
      <c r="T12" s="35" t="str">
        <f aca="false">IF(ISNUMBER($AF12),INDEX(IDX_SrcGrade,$AF12),"—")</f>
        <v>—</v>
      </c>
      <c r="U12" s="35" t="s">
        <v>3189</v>
      </c>
      <c r="V12" s="186" t="n">
        <f aca="false">IF(AND($F12="原始數據",$U12&lt;&gt;"連結 SRC"),1,0)</f>
        <v>0</v>
      </c>
      <c r="W12" s="186" t="n">
        <f aca="false">IF(AND($F12="Analogy",OR($H12="—",$H12="")),1,0)</f>
        <v>0</v>
      </c>
      <c r="X12" s="186" t="n">
        <f aca="false">IF(AND(OR($F12="Analogy",$F12="Assumed"),$G12&lt;&gt;"低",$G12&lt;&gt;"高",NOT(ISNUMBER($K12)),NOT(ISNUMBER($L12)),OR($M12="—",$M12="")),1,0)</f>
        <v>0</v>
      </c>
      <c r="Y12" s="186" t="n">
        <f aca="false">IF(AND(OR($F12="Analogy",$F12="Assumed",$F12="Derived（待改公式）",$F12="Derived（公式）"),OR($N12="—",$N12="",$N12=0)),1,0)</f>
        <v>0</v>
      </c>
      <c r="Z12" s="186" t="n">
        <f aca="false">IF(AND($F12="Decision",OR($J12="—",$J12="")),1,0)</f>
        <v>0</v>
      </c>
      <c r="AA12" s="183" t="n">
        <f aca="false">IF(OR($J12="—",$J12=""),0,IF(COUNTIF(Decisions!$A$5:$A$300,$J12)=0,1,0))</f>
        <v>0</v>
      </c>
      <c r="AB12" s="186" t="n">
        <f aca="false">IF(AND($F12="原始數據",$S12&lt;&gt;"Active"),1,0)</f>
        <v>0</v>
      </c>
      <c r="AC12" s="186" t="n">
        <f aca="false">IF(AND(ISNUMBER($K12),ISNUMBER($L12),ISNUMBER($Q12)),IF(OR($Q12&lt;MIN($K12,$L12),$Q12&gt;MAX($K12,$L12)),1,0),0)</f>
        <v>0</v>
      </c>
      <c r="AD12" s="186" t="n">
        <f aca="false">IF(AND(ISNUMBER($T12),$P12="高"),IF($T12=3,1,0),0)</f>
        <v>0</v>
      </c>
      <c r="AE12" s="186" t="n">
        <f aca="false">IF($S12="不存在",1,0)</f>
        <v>0</v>
      </c>
      <c r="AF12" s="35" t="str">
        <f aca="false">IF(OR($H12="—",$H12=""),"—",MATCH($H12,IDX_SrcID,0))</f>
        <v>—</v>
      </c>
      <c r="AG12" s="104" t="n">
        <f aca="false">IF(AND($P12="高",OR($AD12=1,$X12=1)),1,0)</f>
        <v>0</v>
      </c>
      <c r="AH12" s="104" t="n">
        <f aca="false">IF(AND($P12="高",$AG12=0,OR($F12&lt;&gt;"原始數據",$T12&lt;&gt;1)),1,0)</f>
        <v>0</v>
      </c>
      <c r="AI12" s="53" t="str">
        <f aca="false">IF(AND($P12="高",ISNUMBER($AF12)),INDEX(IDX_SrcDate,$AF12),"—")</f>
        <v>—</v>
      </c>
      <c r="AJ12" s="104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6" t="s">
        <v>3204</v>
      </c>
      <c r="B13" s="215" t="s">
        <v>3183</v>
      </c>
      <c r="C13" s="36" t="s">
        <v>3184</v>
      </c>
      <c r="D13" s="36" t="s">
        <v>3205</v>
      </c>
      <c r="E13" s="19" t="s">
        <v>86</v>
      </c>
      <c r="F13" s="36" t="s">
        <v>80</v>
      </c>
      <c r="G13" s="215" t="s">
        <v>1116</v>
      </c>
      <c r="H13" s="36" t="s">
        <v>587</v>
      </c>
      <c r="I13" s="6" t="s">
        <v>587</v>
      </c>
      <c r="J13" s="36" t="s">
        <v>587</v>
      </c>
      <c r="K13" s="215"/>
      <c r="L13" s="215"/>
      <c r="M13" s="36" t="s">
        <v>587</v>
      </c>
      <c r="N13" s="216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587</v>
      </c>
      <c r="P13" s="215" t="s">
        <v>1115</v>
      </c>
      <c r="Q13" s="179" t="n">
        <f aca="false">Inputs!F10</f>
        <v>0.9</v>
      </c>
      <c r="R13" s="36" t="s">
        <v>587</v>
      </c>
      <c r="S13" s="35" t="str">
        <f aca="false">IF(ISNUMBER($AF13),INDEX(IDX_SrcStat,$AF13),"—")</f>
        <v>—</v>
      </c>
      <c r="T13" s="35" t="str">
        <f aca="false">IF(ISNUMBER($AF13),INDEX(IDX_SrcGrade,$AF13),"—")</f>
        <v>—</v>
      </c>
      <c r="U13" s="35" t="s">
        <v>3189</v>
      </c>
      <c r="V13" s="186" t="n">
        <f aca="false">IF(AND($F13="原始數據",$U13&lt;&gt;"連結 SRC"),1,0)</f>
        <v>0</v>
      </c>
      <c r="W13" s="186" t="n">
        <f aca="false">IF(AND($F13="Analogy",OR($H13="—",$H13="")),1,0)</f>
        <v>0</v>
      </c>
      <c r="X13" s="186" t="n">
        <f aca="false">IF(AND(OR($F13="Analogy",$F13="Assumed"),$G13&lt;&gt;"低",$G13&lt;&gt;"高",NOT(ISNUMBER($K13)),NOT(ISNUMBER($L13)),OR($M13="—",$M13="")),1,0)</f>
        <v>0</v>
      </c>
      <c r="Y13" s="186" t="n">
        <f aca="false">IF(AND(OR($F13="Analogy",$F13="Assumed",$F13="Derived（待改公式）",$F13="Derived（公式）"),OR($N13="—",$N13="",$N13=0)),1,0)</f>
        <v>0</v>
      </c>
      <c r="Z13" s="186" t="n">
        <f aca="false">IF(AND($F13="Decision",OR($J13="—",$J13="")),1,0)</f>
        <v>0</v>
      </c>
      <c r="AA13" s="183" t="n">
        <f aca="false">IF(OR($J13="—",$J13=""),0,IF(COUNTIF(Decisions!$A$5:$A$300,$J13)=0,1,0))</f>
        <v>0</v>
      </c>
      <c r="AB13" s="186" t="n">
        <f aca="false">IF(AND($F13="原始數據",$S13&lt;&gt;"Active"),1,0)</f>
        <v>0</v>
      </c>
      <c r="AC13" s="186" t="n">
        <f aca="false">IF(AND(ISNUMBER($K13),ISNUMBER($L13),ISNUMBER($Q13)),IF(OR($Q13&lt;MIN($K13,$L13),$Q13&gt;MAX($K13,$L13)),1,0),0)</f>
        <v>0</v>
      </c>
      <c r="AD13" s="186" t="n">
        <f aca="false">IF(AND(ISNUMBER($T13),$P13="高"),IF($T13=3,1,0),0)</f>
        <v>0</v>
      </c>
      <c r="AE13" s="186" t="n">
        <f aca="false">IF($S13="不存在",1,0)</f>
        <v>0</v>
      </c>
      <c r="AF13" s="35" t="str">
        <f aca="false">IF(OR($H13="—",$H13=""),"—",MATCH($H13,IDX_SrcID,0))</f>
        <v>—</v>
      </c>
      <c r="AG13" s="104" t="n">
        <f aca="false">IF(AND($P13="高",OR($AD13=1,$X13=1)),1,0)</f>
        <v>0</v>
      </c>
      <c r="AH13" s="104" t="n">
        <f aca="false">IF(AND($P13="高",$AG13=0,OR($F13&lt;&gt;"原始數據",$T13&lt;&gt;1)),1,0)</f>
        <v>0</v>
      </c>
      <c r="AI13" s="53" t="str">
        <f aca="false">IF(AND($P13="高",ISNUMBER($AF13)),INDEX(IDX_SrcDate,$AF13),"—")</f>
        <v>—</v>
      </c>
      <c r="AJ13" s="104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6" t="s">
        <v>3206</v>
      </c>
      <c r="B14" s="215" t="s">
        <v>3183</v>
      </c>
      <c r="C14" s="36" t="s">
        <v>3184</v>
      </c>
      <c r="D14" s="36" t="s">
        <v>3072</v>
      </c>
      <c r="E14" s="19" t="s">
        <v>88</v>
      </c>
      <c r="F14" s="36" t="s">
        <v>84</v>
      </c>
      <c r="G14" s="215" t="s">
        <v>65</v>
      </c>
      <c r="H14" s="36" t="s">
        <v>3207</v>
      </c>
      <c r="I14" s="19" t="s">
        <v>3208</v>
      </c>
      <c r="J14" s="36" t="s">
        <v>587</v>
      </c>
      <c r="K14" s="175" t="n">
        <f aca="false">Inputs!$D$11</f>
        <v>0.06</v>
      </c>
      <c r="L14" s="175" t="n">
        <f aca="false">Inputs!$F$11</f>
        <v>0.1</v>
      </c>
      <c r="M14" s="36" t="s">
        <v>587</v>
      </c>
      <c r="N14" s="216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587</v>
      </c>
      <c r="P14" s="215" t="s">
        <v>1115</v>
      </c>
      <c r="Q14" s="175" t="n">
        <f aca="false">Inputs!E11</f>
        <v>0.08</v>
      </c>
      <c r="R14" s="185" t="n">
        <f aca="false">SRC_DC_006</f>
        <v>0.0871</v>
      </c>
      <c r="S14" s="35" t="str">
        <f aca="false">IF(ISNUMBER($AF14),INDEX(IDX_SrcStat,$AF14),"—")</f>
        <v>Active</v>
      </c>
      <c r="T14" s="35" t="n">
        <f aca="false">IF(ISNUMBER($AF14),INDEX(IDX_SrcGrade,$AF14),"—")</f>
        <v>2</v>
      </c>
      <c r="U14" s="35" t="s">
        <v>3189</v>
      </c>
      <c r="V14" s="186" t="n">
        <f aca="false">IF(AND($F14="原始數據",$U14&lt;&gt;"連結 SRC"),1,0)</f>
        <v>0</v>
      </c>
      <c r="W14" s="186" t="n">
        <f aca="false">IF(AND($F14="Analogy",OR($H14="—",$H14="")),1,0)</f>
        <v>0</v>
      </c>
      <c r="X14" s="186" t="n">
        <f aca="false">IF(AND(OR($F14="Analogy",$F14="Assumed"),$G14&lt;&gt;"低",$G14&lt;&gt;"高",NOT(ISNUMBER($K14)),NOT(ISNUMBER($L14)),OR($M14="—",$M14="")),1,0)</f>
        <v>0</v>
      </c>
      <c r="Y14" s="186" t="n">
        <f aca="false">IF(AND(OR($F14="Analogy",$F14="Assumed",$F14="Derived（待改公式）",$F14="Derived（公式）"),OR($N14="—",$N14="",$N14=0)),1,0)</f>
        <v>0</v>
      </c>
      <c r="Z14" s="186" t="n">
        <f aca="false">IF(AND($F14="Decision",OR($J14="—",$J14="")),1,0)</f>
        <v>0</v>
      </c>
      <c r="AA14" s="183" t="n">
        <f aca="false">IF(OR($J14="—",$J14=""),0,IF(COUNTIF(Decisions!$A$5:$A$300,$J14)=0,1,0))</f>
        <v>0</v>
      </c>
      <c r="AB14" s="186" t="n">
        <f aca="false">IF(AND($F14="原始數據",$S14&lt;&gt;"Active"),1,0)</f>
        <v>0</v>
      </c>
      <c r="AC14" s="186" t="n">
        <f aca="false">IF(AND(ISNUMBER($K14),ISNUMBER($L14),ISNUMBER($Q14)),IF(OR($Q14&lt;MIN($K14,$L14),$Q14&gt;MAX($K14,$L14)),1,0),0)</f>
        <v>0</v>
      </c>
      <c r="AD14" s="186" t="n">
        <f aca="false">IF(AND(ISNUMBER($T14),$P14="高"),IF($T14=3,1,0),0)</f>
        <v>0</v>
      </c>
      <c r="AE14" s="186" t="n">
        <f aca="false">IF($S14="不存在",1,0)</f>
        <v>0</v>
      </c>
      <c r="AF14" s="35" t="n">
        <f aca="false">IF(OR($H14="—",$H14=""),"—",MATCH($H14,IDX_SrcID,0))</f>
        <v>120</v>
      </c>
      <c r="AG14" s="104" t="n">
        <f aca="false">IF(AND($P14="高",OR($AD14=1,$X14=1)),1,0)</f>
        <v>0</v>
      </c>
      <c r="AH14" s="104" t="n">
        <f aca="false">IF(AND($P14="高",$AG14=0,OR($F14&lt;&gt;"原始數據",$T14&lt;&gt;1)),1,0)</f>
        <v>0</v>
      </c>
      <c r="AI14" s="53" t="str">
        <f aca="false">IF(AND($P14="高",ISNUMBER($AF14)),INDEX(IDX_SrcDate,$AF14),"—")</f>
        <v>—</v>
      </c>
      <c r="AJ14" s="104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6" t="s">
        <v>3209</v>
      </c>
      <c r="B15" s="215" t="s">
        <v>3183</v>
      </c>
      <c r="C15" s="36" t="s">
        <v>3184</v>
      </c>
      <c r="D15" s="36" t="s">
        <v>3210</v>
      </c>
      <c r="E15" s="19" t="s">
        <v>88</v>
      </c>
      <c r="F15" s="36" t="s">
        <v>84</v>
      </c>
      <c r="G15" s="215" t="s">
        <v>1115</v>
      </c>
      <c r="H15" s="36" t="s">
        <v>3207</v>
      </c>
      <c r="I15" s="19" t="s">
        <v>3208</v>
      </c>
      <c r="J15" s="36" t="s">
        <v>587</v>
      </c>
      <c r="K15" s="215"/>
      <c r="L15" s="215"/>
      <c r="M15" s="36" t="s">
        <v>587</v>
      </c>
      <c r="N15" s="216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587</v>
      </c>
      <c r="P15" s="215" t="s">
        <v>1115</v>
      </c>
      <c r="Q15" s="175" t="n">
        <f aca="false">Inputs!D11</f>
        <v>0.06</v>
      </c>
      <c r="R15" s="185" t="n">
        <f aca="false">SRC_DC_006</f>
        <v>0.0871</v>
      </c>
      <c r="S15" s="35" t="str">
        <f aca="false">IF(ISNUMBER($AF15),INDEX(IDX_SrcStat,$AF15),"—")</f>
        <v>Active</v>
      </c>
      <c r="T15" s="35" t="n">
        <f aca="false">IF(ISNUMBER($AF15),INDEX(IDX_SrcGrade,$AF15),"—")</f>
        <v>2</v>
      </c>
      <c r="U15" s="35" t="s">
        <v>3189</v>
      </c>
      <c r="V15" s="186" t="n">
        <f aca="false">IF(AND($F15="原始數據",$U15&lt;&gt;"連結 SRC"),1,0)</f>
        <v>0</v>
      </c>
      <c r="W15" s="186" t="n">
        <f aca="false">IF(AND($F15="Analogy",OR($H15="—",$H15="")),1,0)</f>
        <v>0</v>
      </c>
      <c r="X15" s="186" t="n">
        <f aca="false">IF(AND(OR($F15="Analogy",$F15="Assumed"),$G15&lt;&gt;"低",$G15&lt;&gt;"高",NOT(ISNUMBER($K15)),NOT(ISNUMBER($L15)),OR($M15="—",$M15="")),1,0)</f>
        <v>0</v>
      </c>
      <c r="Y15" s="186" t="n">
        <f aca="false">IF(AND(OR($F15="Analogy",$F15="Assumed",$F15="Derived（待改公式）",$F15="Derived（公式）"),OR($N15="—",$N15="",$N15=0)),1,0)</f>
        <v>0</v>
      </c>
      <c r="Z15" s="186" t="n">
        <f aca="false">IF(AND($F15="Decision",OR($J15="—",$J15="")),1,0)</f>
        <v>0</v>
      </c>
      <c r="AA15" s="183" t="n">
        <f aca="false">IF(OR($J15="—",$J15=""),0,IF(COUNTIF(Decisions!$A$5:$A$300,$J15)=0,1,0))</f>
        <v>0</v>
      </c>
      <c r="AB15" s="186" t="n">
        <f aca="false">IF(AND($F15="原始數據",$S15&lt;&gt;"Active"),1,0)</f>
        <v>0</v>
      </c>
      <c r="AC15" s="186" t="n">
        <f aca="false">IF(AND(ISNUMBER($K15),ISNUMBER($L15),ISNUMBER($Q15)),IF(OR($Q15&lt;MIN($K15,$L15),$Q15&gt;MAX($K15,$L15)),1,0),0)</f>
        <v>0</v>
      </c>
      <c r="AD15" s="186" t="n">
        <f aca="false">IF(AND(ISNUMBER($T15),$P15="高"),IF($T15=3,1,0),0)</f>
        <v>0</v>
      </c>
      <c r="AE15" s="186" t="n">
        <f aca="false">IF($S15="不存在",1,0)</f>
        <v>0</v>
      </c>
      <c r="AF15" s="35" t="n">
        <f aca="false">IF(OR($H15="—",$H15=""),"—",MATCH($H15,IDX_SrcID,0))</f>
        <v>120</v>
      </c>
      <c r="AG15" s="104" t="n">
        <f aca="false">IF(AND($P15="高",OR($AD15=1,$X15=1)),1,0)</f>
        <v>0</v>
      </c>
      <c r="AH15" s="104" t="n">
        <f aca="false">IF(AND($P15="高",$AG15=0,OR($F15&lt;&gt;"原始數據",$T15&lt;&gt;1)),1,0)</f>
        <v>0</v>
      </c>
      <c r="AI15" s="53" t="str">
        <f aca="false">IF(AND($P15="高",ISNUMBER($AF15)),INDEX(IDX_SrcDate,$AF15),"—")</f>
        <v>—</v>
      </c>
      <c r="AJ15" s="104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6" t="s">
        <v>3211</v>
      </c>
      <c r="B16" s="215" t="s">
        <v>3183</v>
      </c>
      <c r="C16" s="36" t="s">
        <v>3184</v>
      </c>
      <c r="D16" s="36" t="s">
        <v>3212</v>
      </c>
      <c r="E16" s="19" t="s">
        <v>88</v>
      </c>
      <c r="F16" s="36" t="s">
        <v>84</v>
      </c>
      <c r="G16" s="215" t="s">
        <v>1116</v>
      </c>
      <c r="H16" s="36" t="s">
        <v>3207</v>
      </c>
      <c r="I16" s="19" t="s">
        <v>3208</v>
      </c>
      <c r="J16" s="36" t="s">
        <v>587</v>
      </c>
      <c r="K16" s="215"/>
      <c r="L16" s="215"/>
      <c r="M16" s="36" t="s">
        <v>587</v>
      </c>
      <c r="N16" s="216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587</v>
      </c>
      <c r="P16" s="215" t="s">
        <v>1115</v>
      </c>
      <c r="Q16" s="175" t="n">
        <f aca="false">Inputs!F11</f>
        <v>0.1</v>
      </c>
      <c r="R16" s="185" t="n">
        <f aca="false">SRC_DC_006</f>
        <v>0.0871</v>
      </c>
      <c r="S16" s="35" t="str">
        <f aca="false">IF(ISNUMBER($AF16),INDEX(IDX_SrcStat,$AF16),"—")</f>
        <v>Active</v>
      </c>
      <c r="T16" s="35" t="n">
        <f aca="false">IF(ISNUMBER($AF16),INDEX(IDX_SrcGrade,$AF16),"—")</f>
        <v>2</v>
      </c>
      <c r="U16" s="35" t="s">
        <v>3189</v>
      </c>
      <c r="V16" s="186" t="n">
        <f aca="false">IF(AND($F16="原始數據",$U16&lt;&gt;"連結 SRC"),1,0)</f>
        <v>0</v>
      </c>
      <c r="W16" s="186" t="n">
        <f aca="false">IF(AND($F16="Analogy",OR($H16="—",$H16="")),1,0)</f>
        <v>0</v>
      </c>
      <c r="X16" s="186" t="n">
        <f aca="false">IF(AND(OR($F16="Analogy",$F16="Assumed"),$G16&lt;&gt;"低",$G16&lt;&gt;"高",NOT(ISNUMBER($K16)),NOT(ISNUMBER($L16)),OR($M16="—",$M16="")),1,0)</f>
        <v>0</v>
      </c>
      <c r="Y16" s="186" t="n">
        <f aca="false">IF(AND(OR($F16="Analogy",$F16="Assumed",$F16="Derived（待改公式）",$F16="Derived（公式）"),OR($N16="—",$N16="",$N16=0)),1,0)</f>
        <v>0</v>
      </c>
      <c r="Z16" s="186" t="n">
        <f aca="false">IF(AND($F16="Decision",OR($J16="—",$J16="")),1,0)</f>
        <v>0</v>
      </c>
      <c r="AA16" s="183" t="n">
        <f aca="false">IF(OR($J16="—",$J16=""),0,IF(COUNTIF(Decisions!$A$5:$A$300,$J16)=0,1,0))</f>
        <v>0</v>
      </c>
      <c r="AB16" s="186" t="n">
        <f aca="false">IF(AND($F16="原始數據",$S16&lt;&gt;"Active"),1,0)</f>
        <v>0</v>
      </c>
      <c r="AC16" s="186" t="n">
        <f aca="false">IF(AND(ISNUMBER($K16),ISNUMBER($L16),ISNUMBER($Q16)),IF(OR($Q16&lt;MIN($K16,$L16),$Q16&gt;MAX($K16,$L16)),1,0),0)</f>
        <v>0</v>
      </c>
      <c r="AD16" s="186" t="n">
        <f aca="false">IF(AND(ISNUMBER($T16),$P16="高"),IF($T16=3,1,0),0)</f>
        <v>0</v>
      </c>
      <c r="AE16" s="186" t="n">
        <f aca="false">IF($S16="不存在",1,0)</f>
        <v>0</v>
      </c>
      <c r="AF16" s="35" t="n">
        <f aca="false">IF(OR($H16="—",$H16=""),"—",MATCH($H16,IDX_SrcID,0))</f>
        <v>120</v>
      </c>
      <c r="AG16" s="104" t="n">
        <f aca="false">IF(AND($P16="高",OR($AD16=1,$X16=1)),1,0)</f>
        <v>0</v>
      </c>
      <c r="AH16" s="104" t="n">
        <f aca="false">IF(AND($P16="高",$AG16=0,OR($F16&lt;&gt;"原始數據",$T16&lt;&gt;1)),1,0)</f>
        <v>0</v>
      </c>
      <c r="AI16" s="53" t="str">
        <f aca="false">IF(AND($P16="高",ISNUMBER($AF16)),INDEX(IDX_SrcDate,$AF16),"—")</f>
        <v>—</v>
      </c>
      <c r="AJ16" s="104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6" t="s">
        <v>3213</v>
      </c>
      <c r="B17" s="215" t="s">
        <v>3183</v>
      </c>
      <c r="C17" s="36" t="s">
        <v>3184</v>
      </c>
      <c r="D17" s="36" t="s">
        <v>3077</v>
      </c>
      <c r="E17" s="6" t="s">
        <v>93</v>
      </c>
      <c r="F17" s="36" t="s">
        <v>84</v>
      </c>
      <c r="G17" s="215" t="s">
        <v>65</v>
      </c>
      <c r="H17" s="36" t="s">
        <v>3214</v>
      </c>
      <c r="I17" s="19" t="s">
        <v>3208</v>
      </c>
      <c r="J17" s="36" t="s">
        <v>587</v>
      </c>
      <c r="K17" s="179" t="n">
        <f aca="false">Inputs!$D$13</f>
        <v>0.05</v>
      </c>
      <c r="L17" s="179" t="n">
        <f aca="false">Inputs!$F$13</f>
        <v>0.15</v>
      </c>
      <c r="M17" s="36" t="s">
        <v>587</v>
      </c>
      <c r="N17" s="216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587</v>
      </c>
      <c r="P17" s="215" t="s">
        <v>1115</v>
      </c>
      <c r="Q17" s="179" t="n">
        <f aca="false">Inputs!E13</f>
        <v>0.1</v>
      </c>
      <c r="R17" s="185" t="n">
        <f aca="false">SRC_DC_001_Lo</f>
        <v>0.04</v>
      </c>
      <c r="S17" s="35" t="str">
        <f aca="false">IF(ISNUMBER($AF17),INDEX(IDX_SrcStat,$AF17),"—")</f>
        <v>Active</v>
      </c>
      <c r="T17" s="35" t="n">
        <f aca="false">IF(ISNUMBER($AF17),INDEX(IDX_SrcGrade,$AF17),"—")</f>
        <v>3</v>
      </c>
      <c r="U17" s="35" t="s">
        <v>3189</v>
      </c>
      <c r="V17" s="186" t="n">
        <f aca="false">IF(AND($F17="原始數據",$U17&lt;&gt;"連結 SRC"),1,0)</f>
        <v>0</v>
      </c>
      <c r="W17" s="186" t="n">
        <f aca="false">IF(AND($F17="Analogy",OR($H17="—",$H17="")),1,0)</f>
        <v>0</v>
      </c>
      <c r="X17" s="186" t="n">
        <f aca="false">IF(AND(OR($F17="Analogy",$F17="Assumed"),$G17&lt;&gt;"低",$G17&lt;&gt;"高",NOT(ISNUMBER($K17)),NOT(ISNUMBER($L17)),OR($M17="—",$M17="")),1,0)</f>
        <v>0</v>
      </c>
      <c r="Y17" s="186" t="n">
        <f aca="false">IF(AND(OR($F17="Analogy",$F17="Assumed",$F17="Derived（待改公式）",$F17="Derived（公式）"),OR($N17="—",$N17="",$N17=0)),1,0)</f>
        <v>0</v>
      </c>
      <c r="Z17" s="186" t="n">
        <f aca="false">IF(AND($F17="Decision",OR($J17="—",$J17="")),1,0)</f>
        <v>0</v>
      </c>
      <c r="AA17" s="183" t="n">
        <f aca="false">IF(OR($J17="—",$J17=""),0,IF(COUNTIF(Decisions!$A$5:$A$300,$J17)=0,1,0))</f>
        <v>0</v>
      </c>
      <c r="AB17" s="186" t="n">
        <f aca="false">IF(AND($F17="原始數據",$S17&lt;&gt;"Active"),1,0)</f>
        <v>0</v>
      </c>
      <c r="AC17" s="186" t="n">
        <f aca="false">IF(AND(ISNUMBER($K17),ISNUMBER($L17),ISNUMBER($Q17)),IF(OR($Q17&lt;MIN($K17,$L17),$Q17&gt;MAX($K17,$L17)),1,0),0)</f>
        <v>0</v>
      </c>
      <c r="AD17" s="186" t="n">
        <f aca="false">IF(AND(ISNUMBER($T17),$P17="高"),IF($T17=3,1,0),0)</f>
        <v>0</v>
      </c>
      <c r="AE17" s="186" t="n">
        <f aca="false">IF($S17="不存在",1,0)</f>
        <v>0</v>
      </c>
      <c r="AF17" s="35" t="n">
        <f aca="false">IF(OR($H17="—",$H17=""),"—",MATCH($H17,IDX_SrcID,0))</f>
        <v>115</v>
      </c>
      <c r="AG17" s="104" t="n">
        <f aca="false">IF(AND($P17="高",OR($AD17=1,$X17=1)),1,0)</f>
        <v>0</v>
      </c>
      <c r="AH17" s="104" t="n">
        <f aca="false">IF(AND($P17="高",$AG17=0,OR($F17&lt;&gt;"原始數據",$T17&lt;&gt;1)),1,0)</f>
        <v>0</v>
      </c>
      <c r="AI17" s="53" t="str">
        <f aca="false">IF(AND($P17="高",ISNUMBER($AF17)),INDEX(IDX_SrcDate,$AF17),"—")</f>
        <v>—</v>
      </c>
      <c r="AJ17" s="104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6" t="s">
        <v>3215</v>
      </c>
      <c r="B18" s="215" t="s">
        <v>3183</v>
      </c>
      <c r="C18" s="36" t="s">
        <v>3184</v>
      </c>
      <c r="D18" s="36" t="s">
        <v>3216</v>
      </c>
      <c r="E18" s="6" t="s">
        <v>93</v>
      </c>
      <c r="F18" s="36" t="s">
        <v>84</v>
      </c>
      <c r="G18" s="215" t="s">
        <v>1115</v>
      </c>
      <c r="H18" s="36" t="s">
        <v>3214</v>
      </c>
      <c r="I18" s="19" t="s">
        <v>3208</v>
      </c>
      <c r="J18" s="36" t="s">
        <v>587</v>
      </c>
      <c r="K18" s="215"/>
      <c r="L18" s="215"/>
      <c r="M18" s="36" t="s">
        <v>587</v>
      </c>
      <c r="N18" s="216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587</v>
      </c>
      <c r="P18" s="215" t="s">
        <v>1115</v>
      </c>
      <c r="Q18" s="179" t="n">
        <f aca="false">Inputs!D13</f>
        <v>0.05</v>
      </c>
      <c r="R18" s="185" t="n">
        <f aca="false">SRC_DC_001_Lo</f>
        <v>0.04</v>
      </c>
      <c r="S18" s="35" t="str">
        <f aca="false">IF(ISNUMBER($AF18),INDEX(IDX_SrcStat,$AF18),"—")</f>
        <v>Active</v>
      </c>
      <c r="T18" s="35" t="n">
        <f aca="false">IF(ISNUMBER($AF18),INDEX(IDX_SrcGrade,$AF18),"—")</f>
        <v>3</v>
      </c>
      <c r="U18" s="35" t="s">
        <v>3189</v>
      </c>
      <c r="V18" s="186" t="n">
        <f aca="false">IF(AND($F18="原始數據",$U18&lt;&gt;"連結 SRC"),1,0)</f>
        <v>0</v>
      </c>
      <c r="W18" s="186" t="n">
        <f aca="false">IF(AND($F18="Analogy",OR($H18="—",$H18="")),1,0)</f>
        <v>0</v>
      </c>
      <c r="X18" s="186" t="n">
        <f aca="false">IF(AND(OR($F18="Analogy",$F18="Assumed"),$G18&lt;&gt;"低",$G18&lt;&gt;"高",NOT(ISNUMBER($K18)),NOT(ISNUMBER($L18)),OR($M18="—",$M18="")),1,0)</f>
        <v>0</v>
      </c>
      <c r="Y18" s="186" t="n">
        <f aca="false">IF(AND(OR($F18="Analogy",$F18="Assumed",$F18="Derived（待改公式）",$F18="Derived（公式）"),OR($N18="—",$N18="",$N18=0)),1,0)</f>
        <v>0</v>
      </c>
      <c r="Z18" s="186" t="n">
        <f aca="false">IF(AND($F18="Decision",OR($J18="—",$J18="")),1,0)</f>
        <v>0</v>
      </c>
      <c r="AA18" s="183" t="n">
        <f aca="false">IF(OR($J18="—",$J18=""),0,IF(COUNTIF(Decisions!$A$5:$A$300,$J18)=0,1,0))</f>
        <v>0</v>
      </c>
      <c r="AB18" s="186" t="n">
        <f aca="false">IF(AND($F18="原始數據",$S18&lt;&gt;"Active"),1,0)</f>
        <v>0</v>
      </c>
      <c r="AC18" s="186" t="n">
        <f aca="false">IF(AND(ISNUMBER($K18),ISNUMBER($L18),ISNUMBER($Q18)),IF(OR($Q18&lt;MIN($K18,$L18),$Q18&gt;MAX($K18,$L18)),1,0),0)</f>
        <v>0</v>
      </c>
      <c r="AD18" s="186" t="n">
        <f aca="false">IF(AND(ISNUMBER($T18),$P18="高"),IF($T18=3,1,0),0)</f>
        <v>0</v>
      </c>
      <c r="AE18" s="186" t="n">
        <f aca="false">IF($S18="不存在",1,0)</f>
        <v>0</v>
      </c>
      <c r="AF18" s="35" t="n">
        <f aca="false">IF(OR($H18="—",$H18=""),"—",MATCH($H18,IDX_SrcID,0))</f>
        <v>115</v>
      </c>
      <c r="AG18" s="104" t="n">
        <f aca="false">IF(AND($P18="高",OR($AD18=1,$X18=1)),1,0)</f>
        <v>0</v>
      </c>
      <c r="AH18" s="104" t="n">
        <f aca="false">IF(AND($P18="高",$AG18=0,OR($F18&lt;&gt;"原始數據",$T18&lt;&gt;1)),1,0)</f>
        <v>0</v>
      </c>
      <c r="AI18" s="53" t="str">
        <f aca="false">IF(AND($P18="高",ISNUMBER($AF18)),INDEX(IDX_SrcDate,$AF18),"—")</f>
        <v>—</v>
      </c>
      <c r="AJ18" s="104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6" t="s">
        <v>3217</v>
      </c>
      <c r="B19" s="215" t="s">
        <v>3183</v>
      </c>
      <c r="C19" s="36" t="s">
        <v>3184</v>
      </c>
      <c r="D19" s="36" t="s">
        <v>3218</v>
      </c>
      <c r="E19" s="6" t="s">
        <v>93</v>
      </c>
      <c r="F19" s="215" t="s">
        <v>298</v>
      </c>
      <c r="G19" s="215" t="s">
        <v>3185</v>
      </c>
      <c r="H19" s="36" t="s">
        <v>3219</v>
      </c>
      <c r="I19" s="19" t="s">
        <v>3220</v>
      </c>
      <c r="J19" s="36" t="s">
        <v>587</v>
      </c>
      <c r="K19" s="215"/>
      <c r="L19" s="215"/>
      <c r="M19" s="36" t="s">
        <v>587</v>
      </c>
      <c r="N19" s="19" t="s">
        <v>3221</v>
      </c>
      <c r="O19" s="6" t="s">
        <v>587</v>
      </c>
      <c r="P19" s="215" t="s">
        <v>1115</v>
      </c>
      <c r="Q19" s="179" t="n">
        <f aca="false">Inputs!F13</f>
        <v>0.15</v>
      </c>
      <c r="R19" s="185" t="n">
        <f aca="false">SRC_DC_002</f>
        <v>0.15</v>
      </c>
      <c r="S19" s="35" t="str">
        <f aca="false">IF(ISNUMBER($AF19),INDEX(IDX_SrcStat,$AF19),"—")</f>
        <v>Active</v>
      </c>
      <c r="T19" s="35" t="n">
        <f aca="false">IF(ISNUMBER($AF19),INDEX(IDX_SrcGrade,$AF19),"—")</f>
        <v>3</v>
      </c>
      <c r="U19" s="35" t="s">
        <v>3222</v>
      </c>
      <c r="V19" s="186" t="n">
        <f aca="false">IF(AND($F19="原始數據",$U19&lt;&gt;"連結 SRC"),1,0)</f>
        <v>0</v>
      </c>
      <c r="W19" s="186" t="n">
        <f aca="false">IF(AND($F19="Analogy",OR($H19="—",$H19="")),1,0)</f>
        <v>0</v>
      </c>
      <c r="X19" s="186" t="n">
        <f aca="false">IF(AND(OR($F19="Analogy",$F19="Assumed"),$G19&lt;&gt;"低",$G19&lt;&gt;"高",NOT(ISNUMBER($K19)),NOT(ISNUMBER($L19)),OR($M19="—",$M19="")),1,0)</f>
        <v>0</v>
      </c>
      <c r="Y19" s="186" t="n">
        <f aca="false">IF(AND(OR($F19="Analogy",$F19="Assumed",$F19="Derived（待改公式）",$F19="Derived（公式）"),OR($N19="—",$N19="",$N19=0)),1,0)</f>
        <v>0</v>
      </c>
      <c r="Z19" s="186" t="n">
        <f aca="false">IF(AND($F19="Decision",OR($J19="—",$J19="")),1,0)</f>
        <v>0</v>
      </c>
      <c r="AA19" s="183" t="n">
        <f aca="false">IF(OR($J19="—",$J19=""),0,IF(COUNTIF(Decisions!$A$5:$A$300,$J19)=0,1,0))</f>
        <v>0</v>
      </c>
      <c r="AB19" s="186" t="n">
        <f aca="false">IF(AND($F19="原始數據",$S19&lt;&gt;"Active"),1,0)</f>
        <v>0</v>
      </c>
      <c r="AC19" s="186" t="n">
        <f aca="false">IF(AND(ISNUMBER($K19),ISNUMBER($L19),ISNUMBER($Q19)),IF(OR($Q19&lt;MIN($K19,$L19),$Q19&gt;MAX($K19,$L19)),1,0),0)</f>
        <v>0</v>
      </c>
      <c r="AD19" s="186" t="n">
        <f aca="false">IF(AND(ISNUMBER($T19),$P19="高"),IF($T19=3,1,0),0)</f>
        <v>0</v>
      </c>
      <c r="AE19" s="186" t="n">
        <f aca="false">IF($S19="不存在",1,0)</f>
        <v>0</v>
      </c>
      <c r="AF19" s="35" t="n">
        <f aca="false">IF(OR($H19="—",$H19=""),"—",MATCH($H19,IDX_SrcID,0))</f>
        <v>116</v>
      </c>
      <c r="AG19" s="104" t="n">
        <f aca="false">IF(AND($P19="高",OR($AD19=1,$X19=1)),1,0)</f>
        <v>0</v>
      </c>
      <c r="AH19" s="104" t="n">
        <f aca="false">IF(AND($P19="高",$AG19=0,OR($F19&lt;&gt;"原始數據",$T19&lt;&gt;1)),1,0)</f>
        <v>0</v>
      </c>
      <c r="AI19" s="53" t="str">
        <f aca="false">IF(AND($P19="高",ISNUMBER($AF19)),INDEX(IDX_SrcDate,$AF19),"—")</f>
        <v>—</v>
      </c>
      <c r="AJ19" s="104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6" t="s">
        <v>3223</v>
      </c>
      <c r="B20" s="215" t="s">
        <v>3183</v>
      </c>
      <c r="C20" s="36" t="s">
        <v>3184</v>
      </c>
      <c r="D20" s="36" t="s">
        <v>3224</v>
      </c>
      <c r="E20" s="19" t="s">
        <v>95</v>
      </c>
      <c r="F20" s="36" t="s">
        <v>80</v>
      </c>
      <c r="G20" s="215" t="s">
        <v>65</v>
      </c>
      <c r="H20" s="36" t="s">
        <v>587</v>
      </c>
      <c r="I20" s="6" t="s">
        <v>587</v>
      </c>
      <c r="J20" s="36" t="s">
        <v>587</v>
      </c>
      <c r="K20" s="41" t="n">
        <f aca="false">Inputs!$D$14</f>
        <v>300</v>
      </c>
      <c r="L20" s="41" t="n">
        <f aca="false">Inputs!$F$14</f>
        <v>800</v>
      </c>
      <c r="M20" s="36" t="s">
        <v>587</v>
      </c>
      <c r="N20" s="216" t="str">
        <f aca="false">Inputs!$H$14</f>
        <v>v4 約 $350/GPU（$25K/架）</v>
      </c>
      <c r="O20" s="6" t="s">
        <v>587</v>
      </c>
      <c r="P20" s="215" t="s">
        <v>1115</v>
      </c>
      <c r="Q20" s="41" t="n">
        <f aca="false">Inputs!E14</f>
        <v>500</v>
      </c>
      <c r="R20" s="36" t="s">
        <v>587</v>
      </c>
      <c r="S20" s="35" t="str">
        <f aca="false">IF(ISNUMBER($AF20),INDEX(IDX_SrcStat,$AF20),"—")</f>
        <v>—</v>
      </c>
      <c r="T20" s="35" t="str">
        <f aca="false">IF(ISNUMBER($AF20),INDEX(IDX_SrcGrade,$AF20),"—")</f>
        <v>—</v>
      </c>
      <c r="U20" s="35" t="s">
        <v>3189</v>
      </c>
      <c r="V20" s="186" t="n">
        <f aca="false">IF(AND($F20="原始數據",$U20&lt;&gt;"連結 SRC"),1,0)</f>
        <v>0</v>
      </c>
      <c r="W20" s="186" t="n">
        <f aca="false">IF(AND($F20="Analogy",OR($H20="—",$H20="")),1,0)</f>
        <v>0</v>
      </c>
      <c r="X20" s="186" t="n">
        <f aca="false">IF(AND(OR($F20="Analogy",$F20="Assumed"),$G20&lt;&gt;"低",$G20&lt;&gt;"高",NOT(ISNUMBER($K20)),NOT(ISNUMBER($L20)),OR($M20="—",$M20="")),1,0)</f>
        <v>0</v>
      </c>
      <c r="Y20" s="186" t="n">
        <f aca="false">IF(AND(OR($F20="Analogy",$F20="Assumed",$F20="Derived（待改公式）",$F20="Derived（公式）"),OR($N20="—",$N20="",$N20=0)),1,0)</f>
        <v>0</v>
      </c>
      <c r="Z20" s="186" t="n">
        <f aca="false">IF(AND($F20="Decision",OR($J20="—",$J20="")),1,0)</f>
        <v>0</v>
      </c>
      <c r="AA20" s="183" t="n">
        <f aca="false">IF(OR($J20="—",$J20=""),0,IF(COUNTIF(Decisions!$A$5:$A$300,$J20)=0,1,0))</f>
        <v>0</v>
      </c>
      <c r="AB20" s="186" t="n">
        <f aca="false">IF(AND($F20="原始數據",$S20&lt;&gt;"Active"),1,0)</f>
        <v>0</v>
      </c>
      <c r="AC20" s="186" t="n">
        <f aca="false">IF(AND(ISNUMBER($K20),ISNUMBER($L20),ISNUMBER($Q20)),IF(OR($Q20&lt;MIN($K20,$L20),$Q20&gt;MAX($K20,$L20)),1,0),0)</f>
        <v>0</v>
      </c>
      <c r="AD20" s="186" t="n">
        <f aca="false">IF(AND(ISNUMBER($T20),$P20="高"),IF($T20=3,1,0),0)</f>
        <v>0</v>
      </c>
      <c r="AE20" s="186" t="n">
        <f aca="false">IF($S20="不存在",1,0)</f>
        <v>0</v>
      </c>
      <c r="AF20" s="35" t="str">
        <f aca="false">IF(OR($H20="—",$H20=""),"—",MATCH($H20,IDX_SrcID,0))</f>
        <v>—</v>
      </c>
      <c r="AG20" s="104" t="n">
        <f aca="false">IF(AND($P20="高",OR($AD20=1,$X20=1)),1,0)</f>
        <v>0</v>
      </c>
      <c r="AH20" s="104" t="n">
        <f aca="false">IF(AND($P20="高",$AG20=0,OR($F20&lt;&gt;"原始數據",$T20&lt;&gt;1)),1,0)</f>
        <v>0</v>
      </c>
      <c r="AI20" s="53" t="str">
        <f aca="false">IF(AND($P20="高",ISNUMBER($AF20)),INDEX(IDX_SrcDate,$AF20),"—")</f>
        <v>—</v>
      </c>
      <c r="AJ20" s="104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6" t="s">
        <v>3225</v>
      </c>
      <c r="B21" s="215" t="s">
        <v>3183</v>
      </c>
      <c r="C21" s="36" t="s">
        <v>3184</v>
      </c>
      <c r="D21" s="36" t="s">
        <v>3226</v>
      </c>
      <c r="E21" s="19" t="s">
        <v>95</v>
      </c>
      <c r="F21" s="36" t="s">
        <v>80</v>
      </c>
      <c r="G21" s="215" t="s">
        <v>1115</v>
      </c>
      <c r="H21" s="36" t="s">
        <v>587</v>
      </c>
      <c r="I21" s="6" t="s">
        <v>587</v>
      </c>
      <c r="J21" s="36" t="s">
        <v>587</v>
      </c>
      <c r="K21" s="215"/>
      <c r="L21" s="215"/>
      <c r="M21" s="36" t="s">
        <v>587</v>
      </c>
      <c r="N21" s="216" t="str">
        <f aca="false">Inputs!$H$14</f>
        <v>v4 約 $350/GPU（$25K/架）</v>
      </c>
      <c r="O21" s="6" t="s">
        <v>587</v>
      </c>
      <c r="P21" s="215" t="s">
        <v>1115</v>
      </c>
      <c r="Q21" s="41" t="n">
        <f aca="false">Inputs!D14</f>
        <v>300</v>
      </c>
      <c r="R21" s="36" t="s">
        <v>587</v>
      </c>
      <c r="S21" s="35" t="str">
        <f aca="false">IF(ISNUMBER($AF21),INDEX(IDX_SrcStat,$AF21),"—")</f>
        <v>—</v>
      </c>
      <c r="T21" s="35" t="str">
        <f aca="false">IF(ISNUMBER($AF21),INDEX(IDX_SrcGrade,$AF21),"—")</f>
        <v>—</v>
      </c>
      <c r="U21" s="35" t="s">
        <v>3189</v>
      </c>
      <c r="V21" s="186" t="n">
        <f aca="false">IF(AND($F21="原始數據",$U21&lt;&gt;"連結 SRC"),1,0)</f>
        <v>0</v>
      </c>
      <c r="W21" s="186" t="n">
        <f aca="false">IF(AND($F21="Analogy",OR($H21="—",$H21="")),1,0)</f>
        <v>0</v>
      </c>
      <c r="X21" s="186" t="n">
        <f aca="false">IF(AND(OR($F21="Analogy",$F21="Assumed"),$G21&lt;&gt;"低",$G21&lt;&gt;"高",NOT(ISNUMBER($K21)),NOT(ISNUMBER($L21)),OR($M21="—",$M21="")),1,0)</f>
        <v>0</v>
      </c>
      <c r="Y21" s="186" t="n">
        <f aca="false">IF(AND(OR($F21="Analogy",$F21="Assumed",$F21="Derived（待改公式）",$F21="Derived（公式）"),OR($N21="—",$N21="",$N21=0)),1,0)</f>
        <v>0</v>
      </c>
      <c r="Z21" s="186" t="n">
        <f aca="false">IF(AND($F21="Decision",OR($J21="—",$J21="")),1,0)</f>
        <v>0</v>
      </c>
      <c r="AA21" s="183" t="n">
        <f aca="false">IF(OR($J21="—",$J21=""),0,IF(COUNTIF(Decisions!$A$5:$A$300,$J21)=0,1,0))</f>
        <v>0</v>
      </c>
      <c r="AB21" s="186" t="n">
        <f aca="false">IF(AND($F21="原始數據",$S21&lt;&gt;"Active"),1,0)</f>
        <v>0</v>
      </c>
      <c r="AC21" s="186" t="n">
        <f aca="false">IF(AND(ISNUMBER($K21),ISNUMBER($L21),ISNUMBER($Q21)),IF(OR($Q21&lt;MIN($K21,$L21),$Q21&gt;MAX($K21,$L21)),1,0),0)</f>
        <v>0</v>
      </c>
      <c r="AD21" s="186" t="n">
        <f aca="false">IF(AND(ISNUMBER($T21),$P21="高"),IF($T21=3,1,0),0)</f>
        <v>0</v>
      </c>
      <c r="AE21" s="186" t="n">
        <f aca="false">IF($S21="不存在",1,0)</f>
        <v>0</v>
      </c>
      <c r="AF21" s="35" t="str">
        <f aca="false">IF(OR($H21="—",$H21=""),"—",MATCH($H21,IDX_SrcID,0))</f>
        <v>—</v>
      </c>
      <c r="AG21" s="104" t="n">
        <f aca="false">IF(AND($P21="高",OR($AD21=1,$X21=1)),1,0)</f>
        <v>0</v>
      </c>
      <c r="AH21" s="104" t="n">
        <f aca="false">IF(AND($P21="高",$AG21=0,OR($F21&lt;&gt;"原始數據",$T21&lt;&gt;1)),1,0)</f>
        <v>0</v>
      </c>
      <c r="AI21" s="53" t="str">
        <f aca="false">IF(AND($P21="高",ISNUMBER($AF21)),INDEX(IDX_SrcDate,$AF21),"—")</f>
        <v>—</v>
      </c>
      <c r="AJ21" s="104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6" t="s">
        <v>3227</v>
      </c>
      <c r="B22" s="215" t="s">
        <v>3183</v>
      </c>
      <c r="C22" s="36" t="s">
        <v>3184</v>
      </c>
      <c r="D22" s="36" t="s">
        <v>3228</v>
      </c>
      <c r="E22" s="19" t="s">
        <v>95</v>
      </c>
      <c r="F22" s="36" t="s">
        <v>80</v>
      </c>
      <c r="G22" s="215" t="s">
        <v>1116</v>
      </c>
      <c r="H22" s="36" t="s">
        <v>587</v>
      </c>
      <c r="I22" s="6" t="s">
        <v>587</v>
      </c>
      <c r="J22" s="36" t="s">
        <v>587</v>
      </c>
      <c r="K22" s="215"/>
      <c r="L22" s="215"/>
      <c r="M22" s="36" t="s">
        <v>587</v>
      </c>
      <c r="N22" s="216" t="str">
        <f aca="false">Inputs!$H$14</f>
        <v>v4 約 $350/GPU（$25K/架）</v>
      </c>
      <c r="O22" s="6" t="s">
        <v>587</v>
      </c>
      <c r="P22" s="215" t="s">
        <v>1115</v>
      </c>
      <c r="Q22" s="41" t="n">
        <f aca="false">Inputs!F14</f>
        <v>800</v>
      </c>
      <c r="R22" s="36" t="s">
        <v>587</v>
      </c>
      <c r="S22" s="35" t="str">
        <f aca="false">IF(ISNUMBER($AF22),INDEX(IDX_SrcStat,$AF22),"—")</f>
        <v>—</v>
      </c>
      <c r="T22" s="35" t="str">
        <f aca="false">IF(ISNUMBER($AF22),INDEX(IDX_SrcGrade,$AF22),"—")</f>
        <v>—</v>
      </c>
      <c r="U22" s="35" t="s">
        <v>3189</v>
      </c>
      <c r="V22" s="186" t="n">
        <f aca="false">IF(AND($F22="原始數據",$U22&lt;&gt;"連結 SRC"),1,0)</f>
        <v>0</v>
      </c>
      <c r="W22" s="186" t="n">
        <f aca="false">IF(AND($F22="Analogy",OR($H22="—",$H22="")),1,0)</f>
        <v>0</v>
      </c>
      <c r="X22" s="186" t="n">
        <f aca="false">IF(AND(OR($F22="Analogy",$F22="Assumed"),$G22&lt;&gt;"低",$G22&lt;&gt;"高",NOT(ISNUMBER($K22)),NOT(ISNUMBER($L22)),OR($M22="—",$M22="")),1,0)</f>
        <v>0</v>
      </c>
      <c r="Y22" s="186" t="n">
        <f aca="false">IF(AND(OR($F22="Analogy",$F22="Assumed",$F22="Derived（待改公式）",$F22="Derived（公式）"),OR($N22="—",$N22="",$N22=0)),1,0)</f>
        <v>0</v>
      </c>
      <c r="Z22" s="186" t="n">
        <f aca="false">IF(AND($F22="Decision",OR($J22="—",$J22="")),1,0)</f>
        <v>0</v>
      </c>
      <c r="AA22" s="183" t="n">
        <f aca="false">IF(OR($J22="—",$J22=""),0,IF(COUNTIF(Decisions!$A$5:$A$300,$J22)=0,1,0))</f>
        <v>0</v>
      </c>
      <c r="AB22" s="186" t="n">
        <f aca="false">IF(AND($F22="原始數據",$S22&lt;&gt;"Active"),1,0)</f>
        <v>0</v>
      </c>
      <c r="AC22" s="186" t="n">
        <f aca="false">IF(AND(ISNUMBER($K22),ISNUMBER($L22),ISNUMBER($Q22)),IF(OR($Q22&lt;MIN($K22,$L22),$Q22&gt;MAX($K22,$L22)),1,0),0)</f>
        <v>0</v>
      </c>
      <c r="AD22" s="186" t="n">
        <f aca="false">IF(AND(ISNUMBER($T22),$P22="高"),IF($T22=3,1,0),0)</f>
        <v>0</v>
      </c>
      <c r="AE22" s="186" t="n">
        <f aca="false">IF($S22="不存在",1,0)</f>
        <v>0</v>
      </c>
      <c r="AF22" s="35" t="str">
        <f aca="false">IF(OR($H22="—",$H22=""),"—",MATCH($H22,IDX_SrcID,0))</f>
        <v>—</v>
      </c>
      <c r="AG22" s="104" t="n">
        <f aca="false">IF(AND($P22="高",OR($AD22=1,$X22=1)),1,0)</f>
        <v>0</v>
      </c>
      <c r="AH22" s="104" t="n">
        <f aca="false">IF(AND($P22="高",$AG22=0,OR($F22&lt;&gt;"原始數據",$T22&lt;&gt;1)),1,0)</f>
        <v>0</v>
      </c>
      <c r="AI22" s="53" t="str">
        <f aca="false">IF(AND($P22="高",ISNUMBER($AF22)),INDEX(IDX_SrcDate,$AF22),"—")</f>
        <v>—</v>
      </c>
      <c r="AJ22" s="104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6" t="s">
        <v>3229</v>
      </c>
      <c r="B23" s="215" t="s">
        <v>3183</v>
      </c>
      <c r="C23" s="36" t="s">
        <v>3184</v>
      </c>
      <c r="D23" s="36" t="s">
        <v>3230</v>
      </c>
      <c r="E23" s="19" t="s">
        <v>99</v>
      </c>
      <c r="F23" s="36" t="s">
        <v>80</v>
      </c>
      <c r="G23" s="215" t="s">
        <v>65</v>
      </c>
      <c r="H23" s="36" t="s">
        <v>587</v>
      </c>
      <c r="I23" s="6" t="s">
        <v>587</v>
      </c>
      <c r="J23" s="36" t="s">
        <v>587</v>
      </c>
      <c r="K23" s="175" t="n">
        <f aca="false">Inputs!$D$16</f>
        <v>0.02</v>
      </c>
      <c r="L23" s="175" t="n">
        <f aca="false">Inputs!$F$16</f>
        <v>0.02</v>
      </c>
      <c r="M23" s="36" t="s">
        <v>587</v>
      </c>
      <c r="N23" s="216" t="str">
        <f aca="false">Inputs!$H$16</f>
        <v>v4：100 英畝 × $200K／GW</v>
      </c>
      <c r="O23" s="6" t="s">
        <v>587</v>
      </c>
      <c r="P23" s="215" t="s">
        <v>1115</v>
      </c>
      <c r="Q23" s="175" t="n">
        <f aca="false">Inputs!E16</f>
        <v>0.02</v>
      </c>
      <c r="R23" s="36" t="s">
        <v>587</v>
      </c>
      <c r="S23" s="35" t="str">
        <f aca="false">IF(ISNUMBER($AF23),INDEX(IDX_SrcStat,$AF23),"—")</f>
        <v>—</v>
      </c>
      <c r="T23" s="35" t="str">
        <f aca="false">IF(ISNUMBER($AF23),INDEX(IDX_SrcGrade,$AF23),"—")</f>
        <v>—</v>
      </c>
      <c r="U23" s="35" t="s">
        <v>3189</v>
      </c>
      <c r="V23" s="186" t="n">
        <f aca="false">IF(AND($F23="原始數據",$U23&lt;&gt;"連結 SRC"),1,0)</f>
        <v>0</v>
      </c>
      <c r="W23" s="186" t="n">
        <f aca="false">IF(AND($F23="Analogy",OR($H23="—",$H23="")),1,0)</f>
        <v>0</v>
      </c>
      <c r="X23" s="186" t="n">
        <f aca="false">IF(AND(OR($F23="Analogy",$F23="Assumed"),$G23&lt;&gt;"低",$G23&lt;&gt;"高",NOT(ISNUMBER($K23)),NOT(ISNUMBER($L23)),OR($M23="—",$M23="")),1,0)</f>
        <v>0</v>
      </c>
      <c r="Y23" s="186" t="n">
        <f aca="false">IF(AND(OR($F23="Analogy",$F23="Assumed",$F23="Derived（待改公式）",$F23="Derived（公式）"),OR($N23="—",$N23="",$N23=0)),1,0)</f>
        <v>0</v>
      </c>
      <c r="Z23" s="186" t="n">
        <f aca="false">IF(AND($F23="Decision",OR($J23="—",$J23="")),1,0)</f>
        <v>0</v>
      </c>
      <c r="AA23" s="183" t="n">
        <f aca="false">IF(OR($J23="—",$J23=""),0,IF(COUNTIF(Decisions!$A$5:$A$300,$J23)=0,1,0))</f>
        <v>0</v>
      </c>
      <c r="AB23" s="186" t="n">
        <f aca="false">IF(AND($F23="原始數據",$S23&lt;&gt;"Active"),1,0)</f>
        <v>0</v>
      </c>
      <c r="AC23" s="186" t="n">
        <f aca="false">IF(AND(ISNUMBER($K23),ISNUMBER($L23),ISNUMBER($Q23)),IF(OR($Q23&lt;MIN($K23,$L23),$Q23&gt;MAX($K23,$L23)),1,0),0)</f>
        <v>0</v>
      </c>
      <c r="AD23" s="186" t="n">
        <f aca="false">IF(AND(ISNUMBER($T23),$P23="高"),IF($T23=3,1,0),0)</f>
        <v>0</v>
      </c>
      <c r="AE23" s="186" t="n">
        <f aca="false">IF($S23="不存在",1,0)</f>
        <v>0</v>
      </c>
      <c r="AF23" s="35" t="str">
        <f aca="false">IF(OR($H23="—",$H23=""),"—",MATCH($H23,IDX_SrcID,0))</f>
        <v>—</v>
      </c>
      <c r="AG23" s="104" t="n">
        <f aca="false">IF(AND($P23="高",OR($AD23=1,$X23=1)),1,0)</f>
        <v>0</v>
      </c>
      <c r="AH23" s="104" t="n">
        <f aca="false">IF(AND($P23="高",$AG23=0,OR($F23&lt;&gt;"原始數據",$T23&lt;&gt;1)),1,0)</f>
        <v>0</v>
      </c>
      <c r="AI23" s="53" t="str">
        <f aca="false">IF(AND($P23="高",ISNUMBER($AF23)),INDEX(IDX_SrcDate,$AF23),"—")</f>
        <v>—</v>
      </c>
      <c r="AJ23" s="104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6" t="s">
        <v>3231</v>
      </c>
      <c r="B24" s="215" t="s">
        <v>3183</v>
      </c>
      <c r="C24" s="36" t="s">
        <v>3184</v>
      </c>
      <c r="D24" s="36" t="s">
        <v>3232</v>
      </c>
      <c r="E24" s="19" t="s">
        <v>99</v>
      </c>
      <c r="F24" s="36" t="s">
        <v>80</v>
      </c>
      <c r="G24" s="215" t="s">
        <v>1115</v>
      </c>
      <c r="H24" s="36" t="s">
        <v>587</v>
      </c>
      <c r="I24" s="6" t="s">
        <v>587</v>
      </c>
      <c r="J24" s="36" t="s">
        <v>587</v>
      </c>
      <c r="K24" s="215"/>
      <c r="L24" s="215"/>
      <c r="M24" s="36" t="s">
        <v>587</v>
      </c>
      <c r="N24" s="216" t="str">
        <f aca="false">Inputs!$H$16</f>
        <v>v4：100 英畝 × $200K／GW</v>
      </c>
      <c r="O24" s="6" t="s">
        <v>587</v>
      </c>
      <c r="P24" s="215" t="s">
        <v>1115</v>
      </c>
      <c r="Q24" s="175" t="n">
        <f aca="false">Inputs!D16</f>
        <v>0.02</v>
      </c>
      <c r="R24" s="36" t="s">
        <v>587</v>
      </c>
      <c r="S24" s="35" t="str">
        <f aca="false">IF(ISNUMBER($AF24),INDEX(IDX_SrcStat,$AF24),"—")</f>
        <v>—</v>
      </c>
      <c r="T24" s="35" t="str">
        <f aca="false">IF(ISNUMBER($AF24),INDEX(IDX_SrcGrade,$AF24),"—")</f>
        <v>—</v>
      </c>
      <c r="U24" s="35" t="s">
        <v>3189</v>
      </c>
      <c r="V24" s="186" t="n">
        <f aca="false">IF(AND($F24="原始數據",$U24&lt;&gt;"連結 SRC"),1,0)</f>
        <v>0</v>
      </c>
      <c r="W24" s="186" t="n">
        <f aca="false">IF(AND($F24="Analogy",OR($H24="—",$H24="")),1,0)</f>
        <v>0</v>
      </c>
      <c r="X24" s="186" t="n">
        <f aca="false">IF(AND(OR($F24="Analogy",$F24="Assumed"),$G24&lt;&gt;"低",$G24&lt;&gt;"高",NOT(ISNUMBER($K24)),NOT(ISNUMBER($L24)),OR($M24="—",$M24="")),1,0)</f>
        <v>0</v>
      </c>
      <c r="Y24" s="186" t="n">
        <f aca="false">IF(AND(OR($F24="Analogy",$F24="Assumed",$F24="Derived（待改公式）",$F24="Derived（公式）"),OR($N24="—",$N24="",$N24=0)),1,0)</f>
        <v>0</v>
      </c>
      <c r="Z24" s="186" t="n">
        <f aca="false">IF(AND($F24="Decision",OR($J24="—",$J24="")),1,0)</f>
        <v>0</v>
      </c>
      <c r="AA24" s="183" t="n">
        <f aca="false">IF(OR($J24="—",$J24=""),0,IF(COUNTIF(Decisions!$A$5:$A$300,$J24)=0,1,0))</f>
        <v>0</v>
      </c>
      <c r="AB24" s="186" t="n">
        <f aca="false">IF(AND($F24="原始數據",$S24&lt;&gt;"Active"),1,0)</f>
        <v>0</v>
      </c>
      <c r="AC24" s="186" t="n">
        <f aca="false">IF(AND(ISNUMBER($K24),ISNUMBER($L24),ISNUMBER($Q24)),IF(OR($Q24&lt;MIN($K24,$L24),$Q24&gt;MAX($K24,$L24)),1,0),0)</f>
        <v>0</v>
      </c>
      <c r="AD24" s="186" t="n">
        <f aca="false">IF(AND(ISNUMBER($T24),$P24="高"),IF($T24=3,1,0),0)</f>
        <v>0</v>
      </c>
      <c r="AE24" s="186" t="n">
        <f aca="false">IF($S24="不存在",1,0)</f>
        <v>0</v>
      </c>
      <c r="AF24" s="35" t="str">
        <f aca="false">IF(OR($H24="—",$H24=""),"—",MATCH($H24,IDX_SrcID,0))</f>
        <v>—</v>
      </c>
      <c r="AG24" s="104" t="n">
        <f aca="false">IF(AND($P24="高",OR($AD24=1,$X24=1)),1,0)</f>
        <v>0</v>
      </c>
      <c r="AH24" s="104" t="n">
        <f aca="false">IF(AND($P24="高",$AG24=0,OR($F24&lt;&gt;"原始數據",$T24&lt;&gt;1)),1,0)</f>
        <v>0</v>
      </c>
      <c r="AI24" s="53" t="str">
        <f aca="false">IF(AND($P24="高",ISNUMBER($AF24)),INDEX(IDX_SrcDate,$AF24),"—")</f>
        <v>—</v>
      </c>
      <c r="AJ24" s="104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6" t="s">
        <v>3233</v>
      </c>
      <c r="B25" s="215" t="s">
        <v>3183</v>
      </c>
      <c r="C25" s="36" t="s">
        <v>3184</v>
      </c>
      <c r="D25" s="36" t="s">
        <v>3234</v>
      </c>
      <c r="E25" s="19" t="s">
        <v>99</v>
      </c>
      <c r="F25" s="36" t="s">
        <v>80</v>
      </c>
      <c r="G25" s="215" t="s">
        <v>1116</v>
      </c>
      <c r="H25" s="36" t="s">
        <v>587</v>
      </c>
      <c r="I25" s="6" t="s">
        <v>587</v>
      </c>
      <c r="J25" s="36" t="s">
        <v>587</v>
      </c>
      <c r="K25" s="215"/>
      <c r="L25" s="215"/>
      <c r="M25" s="36" t="s">
        <v>587</v>
      </c>
      <c r="N25" s="216" t="str">
        <f aca="false">Inputs!$H$16</f>
        <v>v4：100 英畝 × $200K／GW</v>
      </c>
      <c r="O25" s="6" t="s">
        <v>587</v>
      </c>
      <c r="P25" s="215" t="s">
        <v>1115</v>
      </c>
      <c r="Q25" s="175" t="n">
        <f aca="false">Inputs!F16</f>
        <v>0.02</v>
      </c>
      <c r="R25" s="36" t="s">
        <v>587</v>
      </c>
      <c r="S25" s="35" t="str">
        <f aca="false">IF(ISNUMBER($AF25),INDEX(IDX_SrcStat,$AF25),"—")</f>
        <v>—</v>
      </c>
      <c r="T25" s="35" t="str">
        <f aca="false">IF(ISNUMBER($AF25),INDEX(IDX_SrcGrade,$AF25),"—")</f>
        <v>—</v>
      </c>
      <c r="U25" s="35" t="s">
        <v>3189</v>
      </c>
      <c r="V25" s="186" t="n">
        <f aca="false">IF(AND($F25="原始數據",$U25&lt;&gt;"連結 SRC"),1,0)</f>
        <v>0</v>
      </c>
      <c r="W25" s="186" t="n">
        <f aca="false">IF(AND($F25="Analogy",OR($H25="—",$H25="")),1,0)</f>
        <v>0</v>
      </c>
      <c r="X25" s="186" t="n">
        <f aca="false">IF(AND(OR($F25="Analogy",$F25="Assumed"),$G25&lt;&gt;"低",$G25&lt;&gt;"高",NOT(ISNUMBER($K25)),NOT(ISNUMBER($L25)),OR($M25="—",$M25="")),1,0)</f>
        <v>0</v>
      </c>
      <c r="Y25" s="186" t="n">
        <f aca="false">IF(AND(OR($F25="Analogy",$F25="Assumed",$F25="Derived（待改公式）",$F25="Derived（公式）"),OR($N25="—",$N25="",$N25=0)),1,0)</f>
        <v>0</v>
      </c>
      <c r="Z25" s="186" t="n">
        <f aca="false">IF(AND($F25="Decision",OR($J25="—",$J25="")),1,0)</f>
        <v>0</v>
      </c>
      <c r="AA25" s="183" t="n">
        <f aca="false">IF(OR($J25="—",$J25=""),0,IF(COUNTIF(Decisions!$A$5:$A$300,$J25)=0,1,0))</f>
        <v>0</v>
      </c>
      <c r="AB25" s="186" t="n">
        <f aca="false">IF(AND($F25="原始數據",$S25&lt;&gt;"Active"),1,0)</f>
        <v>0</v>
      </c>
      <c r="AC25" s="186" t="n">
        <f aca="false">IF(AND(ISNUMBER($K25),ISNUMBER($L25),ISNUMBER($Q25)),IF(OR($Q25&lt;MIN($K25,$L25),$Q25&gt;MAX($K25,$L25)),1,0),0)</f>
        <v>0</v>
      </c>
      <c r="AD25" s="186" t="n">
        <f aca="false">IF(AND(ISNUMBER($T25),$P25="高"),IF($T25=3,1,0),0)</f>
        <v>0</v>
      </c>
      <c r="AE25" s="186" t="n">
        <f aca="false">IF($S25="不存在",1,0)</f>
        <v>0</v>
      </c>
      <c r="AF25" s="35" t="str">
        <f aca="false">IF(OR($H25="—",$H25=""),"—",MATCH($H25,IDX_SrcID,0))</f>
        <v>—</v>
      </c>
      <c r="AG25" s="104" t="n">
        <f aca="false">IF(AND($P25="高",OR($AD25=1,$X25=1)),1,0)</f>
        <v>0</v>
      </c>
      <c r="AH25" s="104" t="n">
        <f aca="false">IF(AND($P25="高",$AG25=0,OR($F25&lt;&gt;"原始數據",$T25&lt;&gt;1)),1,0)</f>
        <v>0</v>
      </c>
      <c r="AI25" s="53" t="str">
        <f aca="false">IF(AND($P25="高",ISNUMBER($AF25)),INDEX(IDX_SrcDate,$AF25),"—")</f>
        <v>—</v>
      </c>
      <c r="AJ25" s="104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6" t="s">
        <v>3235</v>
      </c>
      <c r="B26" s="215" t="s">
        <v>3183</v>
      </c>
      <c r="C26" s="36" t="s">
        <v>3184</v>
      </c>
      <c r="D26" s="36" t="s">
        <v>3236</v>
      </c>
      <c r="E26" s="19" t="s">
        <v>102</v>
      </c>
      <c r="F26" s="36" t="s">
        <v>80</v>
      </c>
      <c r="G26" s="215" t="s">
        <v>65</v>
      </c>
      <c r="H26" s="36" t="s">
        <v>587</v>
      </c>
      <c r="I26" s="6" t="s">
        <v>587</v>
      </c>
      <c r="J26" s="36" t="s">
        <v>587</v>
      </c>
      <c r="K26" s="175" t="n">
        <f aca="false">Inputs!$D$17</f>
        <v>3</v>
      </c>
      <c r="L26" s="175" t="n">
        <f aca="false">Inputs!$F$17</f>
        <v>4.5</v>
      </c>
      <c r="M26" s="36" t="s">
        <v>587</v>
      </c>
      <c r="N26" s="216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587</v>
      </c>
      <c r="P26" s="215" t="s">
        <v>1115</v>
      </c>
      <c r="Q26" s="175" t="n">
        <f aca="false">Inputs!E17</f>
        <v>3.6</v>
      </c>
      <c r="R26" s="36" t="s">
        <v>587</v>
      </c>
      <c r="S26" s="35" t="str">
        <f aca="false">IF(ISNUMBER($AF26),INDEX(IDX_SrcStat,$AF26),"—")</f>
        <v>—</v>
      </c>
      <c r="T26" s="35" t="str">
        <f aca="false">IF(ISNUMBER($AF26),INDEX(IDX_SrcGrade,$AF26),"—")</f>
        <v>—</v>
      </c>
      <c r="U26" s="35" t="s">
        <v>3189</v>
      </c>
      <c r="V26" s="186" t="n">
        <f aca="false">IF(AND($F26="原始數據",$U26&lt;&gt;"連結 SRC"),1,0)</f>
        <v>0</v>
      </c>
      <c r="W26" s="186" t="n">
        <f aca="false">IF(AND($F26="Analogy",OR($H26="—",$H26="")),1,0)</f>
        <v>0</v>
      </c>
      <c r="X26" s="186" t="n">
        <f aca="false">IF(AND(OR($F26="Analogy",$F26="Assumed"),$G26&lt;&gt;"低",$G26&lt;&gt;"高",NOT(ISNUMBER($K26)),NOT(ISNUMBER($L26)),OR($M26="—",$M26="")),1,0)</f>
        <v>0</v>
      </c>
      <c r="Y26" s="186" t="n">
        <f aca="false">IF(AND(OR($F26="Analogy",$F26="Assumed",$F26="Derived（待改公式）",$F26="Derived（公式）"),OR($N26="—",$N26="",$N26=0)),1,0)</f>
        <v>0</v>
      </c>
      <c r="Z26" s="186" t="n">
        <f aca="false">IF(AND($F26="Decision",OR($J26="—",$J26="")),1,0)</f>
        <v>0</v>
      </c>
      <c r="AA26" s="183" t="n">
        <f aca="false">IF(OR($J26="—",$J26=""),0,IF(COUNTIF(Decisions!$A$5:$A$300,$J26)=0,1,0))</f>
        <v>0</v>
      </c>
      <c r="AB26" s="186" t="n">
        <f aca="false">IF(AND($F26="原始數據",$S26&lt;&gt;"Active"),1,0)</f>
        <v>0</v>
      </c>
      <c r="AC26" s="186" t="n">
        <f aca="false">IF(AND(ISNUMBER($K26),ISNUMBER($L26),ISNUMBER($Q26)),IF(OR($Q26&lt;MIN($K26,$L26),$Q26&gt;MAX($K26,$L26)),1,0),0)</f>
        <v>0</v>
      </c>
      <c r="AD26" s="186" t="n">
        <f aca="false">IF(AND(ISNUMBER($T26),$P26="高"),IF($T26=3,1,0),0)</f>
        <v>0</v>
      </c>
      <c r="AE26" s="186" t="n">
        <f aca="false">IF($S26="不存在",1,0)</f>
        <v>0</v>
      </c>
      <c r="AF26" s="35" t="str">
        <f aca="false">IF(OR($H26="—",$H26=""),"—",MATCH($H26,IDX_SrcID,0))</f>
        <v>—</v>
      </c>
      <c r="AG26" s="104" t="n">
        <f aca="false">IF(AND($P26="高",OR($AD26=1,$X26=1)),1,0)</f>
        <v>0</v>
      </c>
      <c r="AH26" s="104" t="n">
        <f aca="false">IF(AND($P26="高",$AG26=0,OR($F26&lt;&gt;"原始數據",$T26&lt;&gt;1)),1,0)</f>
        <v>0</v>
      </c>
      <c r="AI26" s="53" t="str">
        <f aca="false">IF(AND($P26="高",ISNUMBER($AF26)),INDEX(IDX_SrcDate,$AF26),"—")</f>
        <v>—</v>
      </c>
      <c r="AJ26" s="104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6" t="s">
        <v>3237</v>
      </c>
      <c r="B27" s="215" t="s">
        <v>3183</v>
      </c>
      <c r="C27" s="36" t="s">
        <v>3184</v>
      </c>
      <c r="D27" s="36" t="s">
        <v>3238</v>
      </c>
      <c r="E27" s="19" t="s">
        <v>102</v>
      </c>
      <c r="F27" s="36" t="s">
        <v>80</v>
      </c>
      <c r="G27" s="215" t="s">
        <v>1115</v>
      </c>
      <c r="H27" s="36" t="s">
        <v>587</v>
      </c>
      <c r="I27" s="6" t="s">
        <v>587</v>
      </c>
      <c r="J27" s="36" t="s">
        <v>587</v>
      </c>
      <c r="K27" s="215"/>
      <c r="L27" s="215"/>
      <c r="M27" s="36" t="s">
        <v>587</v>
      </c>
      <c r="N27" s="216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587</v>
      </c>
      <c r="P27" s="215" t="s">
        <v>1115</v>
      </c>
      <c r="Q27" s="175" t="n">
        <f aca="false">Inputs!D17</f>
        <v>3</v>
      </c>
      <c r="R27" s="36" t="s">
        <v>587</v>
      </c>
      <c r="S27" s="35" t="str">
        <f aca="false">IF(ISNUMBER($AF27),INDEX(IDX_SrcStat,$AF27),"—")</f>
        <v>—</v>
      </c>
      <c r="T27" s="35" t="str">
        <f aca="false">IF(ISNUMBER($AF27),INDEX(IDX_SrcGrade,$AF27),"—")</f>
        <v>—</v>
      </c>
      <c r="U27" s="35" t="s">
        <v>3189</v>
      </c>
      <c r="V27" s="186" t="n">
        <f aca="false">IF(AND($F27="原始數據",$U27&lt;&gt;"連結 SRC"),1,0)</f>
        <v>0</v>
      </c>
      <c r="W27" s="186" t="n">
        <f aca="false">IF(AND($F27="Analogy",OR($H27="—",$H27="")),1,0)</f>
        <v>0</v>
      </c>
      <c r="X27" s="186" t="n">
        <f aca="false">IF(AND(OR($F27="Analogy",$F27="Assumed"),$G27&lt;&gt;"低",$G27&lt;&gt;"高",NOT(ISNUMBER($K27)),NOT(ISNUMBER($L27)),OR($M27="—",$M27="")),1,0)</f>
        <v>0</v>
      </c>
      <c r="Y27" s="186" t="n">
        <f aca="false">IF(AND(OR($F27="Analogy",$F27="Assumed",$F27="Derived（待改公式）",$F27="Derived（公式）"),OR($N27="—",$N27="",$N27=0)),1,0)</f>
        <v>0</v>
      </c>
      <c r="Z27" s="186" t="n">
        <f aca="false">IF(AND($F27="Decision",OR($J27="—",$J27="")),1,0)</f>
        <v>0</v>
      </c>
      <c r="AA27" s="183" t="n">
        <f aca="false">IF(OR($J27="—",$J27=""),0,IF(COUNTIF(Decisions!$A$5:$A$300,$J27)=0,1,0))</f>
        <v>0</v>
      </c>
      <c r="AB27" s="186" t="n">
        <f aca="false">IF(AND($F27="原始數據",$S27&lt;&gt;"Active"),1,0)</f>
        <v>0</v>
      </c>
      <c r="AC27" s="186" t="n">
        <f aca="false">IF(AND(ISNUMBER($K27),ISNUMBER($L27),ISNUMBER($Q27)),IF(OR($Q27&lt;MIN($K27,$L27),$Q27&gt;MAX($K27,$L27)),1,0),0)</f>
        <v>0</v>
      </c>
      <c r="AD27" s="186" t="n">
        <f aca="false">IF(AND(ISNUMBER($T27),$P27="高"),IF($T27=3,1,0),0)</f>
        <v>0</v>
      </c>
      <c r="AE27" s="186" t="n">
        <f aca="false">IF($S27="不存在",1,0)</f>
        <v>0</v>
      </c>
      <c r="AF27" s="35" t="str">
        <f aca="false">IF(OR($H27="—",$H27=""),"—",MATCH($H27,IDX_SrcID,0))</f>
        <v>—</v>
      </c>
      <c r="AG27" s="104" t="n">
        <f aca="false">IF(AND($P27="高",OR($AD27=1,$X27=1)),1,0)</f>
        <v>0</v>
      </c>
      <c r="AH27" s="104" t="n">
        <f aca="false">IF(AND($P27="高",$AG27=0,OR($F27&lt;&gt;"原始數據",$T27&lt;&gt;1)),1,0)</f>
        <v>0</v>
      </c>
      <c r="AI27" s="53" t="str">
        <f aca="false">IF(AND($P27="高",ISNUMBER($AF27)),INDEX(IDX_SrcDate,$AF27),"—")</f>
        <v>—</v>
      </c>
      <c r="AJ27" s="104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6" t="s">
        <v>3239</v>
      </c>
      <c r="B28" s="215" t="s">
        <v>3183</v>
      </c>
      <c r="C28" s="36" t="s">
        <v>3184</v>
      </c>
      <c r="D28" s="36" t="s">
        <v>3240</v>
      </c>
      <c r="E28" s="19" t="s">
        <v>102</v>
      </c>
      <c r="F28" s="36" t="s">
        <v>80</v>
      </c>
      <c r="G28" s="215" t="s">
        <v>1116</v>
      </c>
      <c r="H28" s="36" t="s">
        <v>587</v>
      </c>
      <c r="I28" s="6" t="s">
        <v>587</v>
      </c>
      <c r="J28" s="36" t="s">
        <v>587</v>
      </c>
      <c r="K28" s="215"/>
      <c r="L28" s="215"/>
      <c r="M28" s="36" t="s">
        <v>587</v>
      </c>
      <c r="N28" s="216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587</v>
      </c>
      <c r="P28" s="215" t="s">
        <v>1115</v>
      </c>
      <c r="Q28" s="175" t="n">
        <f aca="false">Inputs!F17</f>
        <v>4.5</v>
      </c>
      <c r="R28" s="36" t="s">
        <v>587</v>
      </c>
      <c r="S28" s="35" t="str">
        <f aca="false">IF(ISNUMBER($AF28),INDEX(IDX_SrcStat,$AF28),"—")</f>
        <v>—</v>
      </c>
      <c r="T28" s="35" t="str">
        <f aca="false">IF(ISNUMBER($AF28),INDEX(IDX_SrcGrade,$AF28),"—")</f>
        <v>—</v>
      </c>
      <c r="U28" s="35" t="s">
        <v>3189</v>
      </c>
      <c r="V28" s="186" t="n">
        <f aca="false">IF(AND($F28="原始數據",$U28&lt;&gt;"連結 SRC"),1,0)</f>
        <v>0</v>
      </c>
      <c r="W28" s="186" t="n">
        <f aca="false">IF(AND($F28="Analogy",OR($H28="—",$H28="")),1,0)</f>
        <v>0</v>
      </c>
      <c r="X28" s="186" t="n">
        <f aca="false">IF(AND(OR($F28="Analogy",$F28="Assumed"),$G28&lt;&gt;"低",$G28&lt;&gt;"高",NOT(ISNUMBER($K28)),NOT(ISNUMBER($L28)),OR($M28="—",$M28="")),1,0)</f>
        <v>0</v>
      </c>
      <c r="Y28" s="186" t="n">
        <f aca="false">IF(AND(OR($F28="Analogy",$F28="Assumed",$F28="Derived（待改公式）",$F28="Derived（公式）"),OR($N28="—",$N28="",$N28=0)),1,0)</f>
        <v>0</v>
      </c>
      <c r="Z28" s="186" t="n">
        <f aca="false">IF(AND($F28="Decision",OR($J28="—",$J28="")),1,0)</f>
        <v>0</v>
      </c>
      <c r="AA28" s="183" t="n">
        <f aca="false">IF(OR($J28="—",$J28=""),0,IF(COUNTIF(Decisions!$A$5:$A$300,$J28)=0,1,0))</f>
        <v>0</v>
      </c>
      <c r="AB28" s="186" t="n">
        <f aca="false">IF(AND($F28="原始數據",$S28&lt;&gt;"Active"),1,0)</f>
        <v>0</v>
      </c>
      <c r="AC28" s="186" t="n">
        <f aca="false">IF(AND(ISNUMBER($K28),ISNUMBER($L28),ISNUMBER($Q28)),IF(OR($Q28&lt;MIN($K28,$L28),$Q28&gt;MAX($K28,$L28)),1,0),0)</f>
        <v>0</v>
      </c>
      <c r="AD28" s="186" t="n">
        <f aca="false">IF(AND(ISNUMBER($T28),$P28="高"),IF($T28=3,1,0),0)</f>
        <v>0</v>
      </c>
      <c r="AE28" s="186" t="n">
        <f aca="false">IF($S28="不存在",1,0)</f>
        <v>0</v>
      </c>
      <c r="AF28" s="35" t="str">
        <f aca="false">IF(OR($H28="—",$H28=""),"—",MATCH($H28,IDX_SrcID,0))</f>
        <v>—</v>
      </c>
      <c r="AG28" s="104" t="n">
        <f aca="false">IF(AND($P28="高",OR($AD28=1,$X28=1)),1,0)</f>
        <v>0</v>
      </c>
      <c r="AH28" s="104" t="n">
        <f aca="false">IF(AND($P28="高",$AG28=0,OR($F28&lt;&gt;"原始數據",$T28&lt;&gt;1)),1,0)</f>
        <v>0</v>
      </c>
      <c r="AI28" s="53" t="str">
        <f aca="false">IF(AND($P28="高",ISNUMBER($AF28)),INDEX(IDX_SrcDate,$AF28),"—")</f>
        <v>—</v>
      </c>
      <c r="AJ28" s="104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6" t="s">
        <v>3241</v>
      </c>
      <c r="B29" s="215" t="s">
        <v>3183</v>
      </c>
      <c r="C29" s="36" t="s">
        <v>3184</v>
      </c>
      <c r="D29" s="36" t="s">
        <v>3242</v>
      </c>
      <c r="E29" s="19" t="s">
        <v>104</v>
      </c>
      <c r="F29" s="36" t="s">
        <v>80</v>
      </c>
      <c r="G29" s="215" t="s">
        <v>65</v>
      </c>
      <c r="H29" s="36" t="s">
        <v>587</v>
      </c>
      <c r="I29" s="6" t="s">
        <v>587</v>
      </c>
      <c r="J29" s="36" t="s">
        <v>587</v>
      </c>
      <c r="K29" s="175" t="n">
        <f aca="false">Inputs!$D$18</f>
        <v>3.8</v>
      </c>
      <c r="L29" s="175" t="n">
        <f aca="false">Inputs!$F$18</f>
        <v>5.5</v>
      </c>
      <c r="M29" s="36" t="s">
        <v>587</v>
      </c>
      <c r="N29" s="19" t="s">
        <v>3243</v>
      </c>
      <c r="O29" s="6" t="s">
        <v>587</v>
      </c>
      <c r="P29" s="215" t="s">
        <v>3244</v>
      </c>
      <c r="Q29" s="175" t="n">
        <f aca="false">Inputs!E18</f>
        <v>4.5</v>
      </c>
      <c r="R29" s="36" t="s">
        <v>587</v>
      </c>
      <c r="S29" s="35" t="str">
        <f aca="false">IF(ISNUMBER($AF29),INDEX(IDX_SrcStat,$AF29),"—")</f>
        <v>—</v>
      </c>
      <c r="T29" s="35" t="str">
        <f aca="false">IF(ISNUMBER($AF29),INDEX(IDX_SrcGrade,$AF29),"—")</f>
        <v>—</v>
      </c>
      <c r="U29" s="35" t="s">
        <v>3189</v>
      </c>
      <c r="V29" s="186" t="n">
        <f aca="false">IF(AND($F29="原始數據",$U29&lt;&gt;"連結 SRC"),1,0)</f>
        <v>0</v>
      </c>
      <c r="W29" s="186" t="n">
        <f aca="false">IF(AND($F29="Analogy",OR($H29="—",$H29="")),1,0)</f>
        <v>0</v>
      </c>
      <c r="X29" s="186" t="n">
        <f aca="false">IF(AND(OR($F29="Analogy",$F29="Assumed"),$G29&lt;&gt;"低",$G29&lt;&gt;"高",NOT(ISNUMBER($K29)),NOT(ISNUMBER($L29)),OR($M29="—",$M29="")),1,0)</f>
        <v>0</v>
      </c>
      <c r="Y29" s="186" t="n">
        <f aca="false">IF(AND(OR($F29="Analogy",$F29="Assumed",$F29="Derived（待改公式）",$F29="Derived（公式）"),OR($N29="—",$N29="",$N29=0)),1,0)</f>
        <v>0</v>
      </c>
      <c r="Z29" s="186" t="n">
        <f aca="false">IF(AND($F29="Decision",OR($J29="—",$J29="")),1,0)</f>
        <v>0</v>
      </c>
      <c r="AA29" s="183" t="n">
        <f aca="false">IF(OR($J29="—",$J29=""),0,IF(COUNTIF(Decisions!$A$5:$A$300,$J29)=0,1,0))</f>
        <v>0</v>
      </c>
      <c r="AB29" s="186" t="n">
        <f aca="false">IF(AND($F29="原始數據",$S29&lt;&gt;"Active"),1,0)</f>
        <v>0</v>
      </c>
      <c r="AC29" s="186" t="n">
        <f aca="false">IF(AND(ISNUMBER($K29),ISNUMBER($L29),ISNUMBER($Q29)),IF(OR($Q29&lt;MIN($K29,$L29),$Q29&gt;MAX($K29,$L29)),1,0),0)</f>
        <v>0</v>
      </c>
      <c r="AD29" s="186" t="n">
        <f aca="false">IF(AND(ISNUMBER($T29),$P29="高"),IF($T29=3,1,0),0)</f>
        <v>0</v>
      </c>
      <c r="AE29" s="186" t="n">
        <f aca="false">IF($S29="不存在",1,0)</f>
        <v>0</v>
      </c>
      <c r="AF29" s="35" t="str">
        <f aca="false">IF(OR($H29="—",$H29=""),"—",MATCH($H29,IDX_SrcID,0))</f>
        <v>—</v>
      </c>
      <c r="AG29" s="104" t="n">
        <f aca="false">IF(AND($P29="高",OR($AD29=1,$X29=1)),1,0)</f>
        <v>0</v>
      </c>
      <c r="AH29" s="104" t="n">
        <f aca="false">IF(AND($P29="高",$AG29=0,OR($F29&lt;&gt;"原始數據",$T29&lt;&gt;1)),1,0)</f>
        <v>0</v>
      </c>
      <c r="AI29" s="53" t="str">
        <f aca="false">IF(AND($P29="高",ISNUMBER($AF29)),INDEX(IDX_SrcDate,$AF29),"—")</f>
        <v>—</v>
      </c>
      <c r="AJ29" s="104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6" t="s">
        <v>3245</v>
      </c>
      <c r="B30" s="215" t="s">
        <v>3183</v>
      </c>
      <c r="C30" s="36" t="s">
        <v>3184</v>
      </c>
      <c r="D30" s="36" t="s">
        <v>3246</v>
      </c>
      <c r="E30" s="19" t="s">
        <v>104</v>
      </c>
      <c r="F30" s="36" t="s">
        <v>80</v>
      </c>
      <c r="G30" s="215" t="s">
        <v>1115</v>
      </c>
      <c r="H30" s="36" t="s">
        <v>587</v>
      </c>
      <c r="I30" s="6" t="s">
        <v>587</v>
      </c>
      <c r="J30" s="36" t="s">
        <v>587</v>
      </c>
      <c r="K30" s="215"/>
      <c r="L30" s="215"/>
      <c r="M30" s="36" t="s">
        <v>587</v>
      </c>
      <c r="N30" s="19" t="s">
        <v>3243</v>
      </c>
      <c r="O30" s="6" t="s">
        <v>587</v>
      </c>
      <c r="P30" s="215" t="s">
        <v>3244</v>
      </c>
      <c r="Q30" s="175" t="n">
        <f aca="false">Inputs!D18</f>
        <v>3.8</v>
      </c>
      <c r="R30" s="36" t="s">
        <v>587</v>
      </c>
      <c r="S30" s="35" t="str">
        <f aca="false">IF(ISNUMBER($AF30),INDEX(IDX_SrcStat,$AF30),"—")</f>
        <v>—</v>
      </c>
      <c r="T30" s="35" t="str">
        <f aca="false">IF(ISNUMBER($AF30),INDEX(IDX_SrcGrade,$AF30),"—")</f>
        <v>—</v>
      </c>
      <c r="U30" s="35" t="s">
        <v>3189</v>
      </c>
      <c r="V30" s="186" t="n">
        <f aca="false">IF(AND($F30="原始數據",$U30&lt;&gt;"連結 SRC"),1,0)</f>
        <v>0</v>
      </c>
      <c r="W30" s="186" t="n">
        <f aca="false">IF(AND($F30="Analogy",OR($H30="—",$H30="")),1,0)</f>
        <v>0</v>
      </c>
      <c r="X30" s="186" t="n">
        <f aca="false">IF(AND(OR($F30="Analogy",$F30="Assumed"),$G30&lt;&gt;"低",$G30&lt;&gt;"高",NOT(ISNUMBER($K30)),NOT(ISNUMBER($L30)),OR($M30="—",$M30="")),1,0)</f>
        <v>0</v>
      </c>
      <c r="Y30" s="186" t="n">
        <f aca="false">IF(AND(OR($F30="Analogy",$F30="Assumed",$F30="Derived（待改公式）",$F30="Derived（公式）"),OR($N30="—",$N30="",$N30=0)),1,0)</f>
        <v>0</v>
      </c>
      <c r="Z30" s="186" t="n">
        <f aca="false">IF(AND($F30="Decision",OR($J30="—",$J30="")),1,0)</f>
        <v>0</v>
      </c>
      <c r="AA30" s="183" t="n">
        <f aca="false">IF(OR($J30="—",$J30=""),0,IF(COUNTIF(Decisions!$A$5:$A$300,$J30)=0,1,0))</f>
        <v>0</v>
      </c>
      <c r="AB30" s="186" t="n">
        <f aca="false">IF(AND($F30="原始數據",$S30&lt;&gt;"Active"),1,0)</f>
        <v>0</v>
      </c>
      <c r="AC30" s="186" t="n">
        <f aca="false">IF(AND(ISNUMBER($K30),ISNUMBER($L30),ISNUMBER($Q30)),IF(OR($Q30&lt;MIN($K30,$L30),$Q30&gt;MAX($K30,$L30)),1,0),0)</f>
        <v>0</v>
      </c>
      <c r="AD30" s="186" t="n">
        <f aca="false">IF(AND(ISNUMBER($T30),$P30="高"),IF($T30=3,1,0),0)</f>
        <v>0</v>
      </c>
      <c r="AE30" s="186" t="n">
        <f aca="false">IF($S30="不存在",1,0)</f>
        <v>0</v>
      </c>
      <c r="AF30" s="35" t="str">
        <f aca="false">IF(OR($H30="—",$H30=""),"—",MATCH($H30,IDX_SrcID,0))</f>
        <v>—</v>
      </c>
      <c r="AG30" s="104" t="n">
        <f aca="false">IF(AND($P30="高",OR($AD30=1,$X30=1)),1,0)</f>
        <v>0</v>
      </c>
      <c r="AH30" s="104" t="n">
        <f aca="false">IF(AND($P30="高",$AG30=0,OR($F30&lt;&gt;"原始數據",$T30&lt;&gt;1)),1,0)</f>
        <v>0</v>
      </c>
      <c r="AI30" s="53" t="str">
        <f aca="false">IF(AND($P30="高",ISNUMBER($AF30)),INDEX(IDX_SrcDate,$AF30),"—")</f>
        <v>—</v>
      </c>
      <c r="AJ30" s="104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6" t="s">
        <v>3247</v>
      </c>
      <c r="B31" s="215" t="s">
        <v>3183</v>
      </c>
      <c r="C31" s="36" t="s">
        <v>3184</v>
      </c>
      <c r="D31" s="36" t="s">
        <v>3248</v>
      </c>
      <c r="E31" s="19" t="s">
        <v>104</v>
      </c>
      <c r="F31" s="36" t="s">
        <v>80</v>
      </c>
      <c r="G31" s="215" t="s">
        <v>1116</v>
      </c>
      <c r="H31" s="36" t="s">
        <v>587</v>
      </c>
      <c r="I31" s="6" t="s">
        <v>587</v>
      </c>
      <c r="J31" s="36" t="s">
        <v>587</v>
      </c>
      <c r="K31" s="215"/>
      <c r="L31" s="215"/>
      <c r="M31" s="36" t="s">
        <v>587</v>
      </c>
      <c r="N31" s="19" t="s">
        <v>3243</v>
      </c>
      <c r="O31" s="6" t="s">
        <v>587</v>
      </c>
      <c r="P31" s="215" t="s">
        <v>3244</v>
      </c>
      <c r="Q31" s="175" t="n">
        <f aca="false">Inputs!F18</f>
        <v>5.5</v>
      </c>
      <c r="R31" s="36" t="s">
        <v>587</v>
      </c>
      <c r="S31" s="35" t="str">
        <f aca="false">IF(ISNUMBER($AF31),INDEX(IDX_SrcStat,$AF31),"—")</f>
        <v>—</v>
      </c>
      <c r="T31" s="35" t="str">
        <f aca="false">IF(ISNUMBER($AF31),INDEX(IDX_SrcGrade,$AF31),"—")</f>
        <v>—</v>
      </c>
      <c r="U31" s="35" t="s">
        <v>3189</v>
      </c>
      <c r="V31" s="186" t="n">
        <f aca="false">IF(AND($F31="原始數據",$U31&lt;&gt;"連結 SRC"),1,0)</f>
        <v>0</v>
      </c>
      <c r="W31" s="186" t="n">
        <f aca="false">IF(AND($F31="Analogy",OR($H31="—",$H31="")),1,0)</f>
        <v>0</v>
      </c>
      <c r="X31" s="186" t="n">
        <f aca="false">IF(AND(OR($F31="Analogy",$F31="Assumed"),$G31&lt;&gt;"低",$G31&lt;&gt;"高",NOT(ISNUMBER($K31)),NOT(ISNUMBER($L31)),OR($M31="—",$M31="")),1,0)</f>
        <v>0</v>
      </c>
      <c r="Y31" s="186" t="n">
        <f aca="false">IF(AND(OR($F31="Analogy",$F31="Assumed",$F31="Derived（待改公式）",$F31="Derived（公式）"),OR($N31="—",$N31="",$N31=0)),1,0)</f>
        <v>0</v>
      </c>
      <c r="Z31" s="186" t="n">
        <f aca="false">IF(AND($F31="Decision",OR($J31="—",$J31="")),1,0)</f>
        <v>0</v>
      </c>
      <c r="AA31" s="183" t="n">
        <f aca="false">IF(OR($J31="—",$J31=""),0,IF(COUNTIF(Decisions!$A$5:$A$300,$J31)=0,1,0))</f>
        <v>0</v>
      </c>
      <c r="AB31" s="186" t="n">
        <f aca="false">IF(AND($F31="原始數據",$S31&lt;&gt;"Active"),1,0)</f>
        <v>0</v>
      </c>
      <c r="AC31" s="186" t="n">
        <f aca="false">IF(AND(ISNUMBER($K31),ISNUMBER($L31),ISNUMBER($Q31)),IF(OR($Q31&lt;MIN($K31,$L31),$Q31&gt;MAX($K31,$L31)),1,0),0)</f>
        <v>0</v>
      </c>
      <c r="AD31" s="186" t="n">
        <f aca="false">IF(AND(ISNUMBER($T31),$P31="高"),IF($T31=3,1,0),0)</f>
        <v>0</v>
      </c>
      <c r="AE31" s="186" t="n">
        <f aca="false">IF($S31="不存在",1,0)</f>
        <v>0</v>
      </c>
      <c r="AF31" s="35" t="str">
        <f aca="false">IF(OR($H31="—",$H31=""),"—",MATCH($H31,IDX_SrcID,0))</f>
        <v>—</v>
      </c>
      <c r="AG31" s="104" t="n">
        <f aca="false">IF(AND($P31="高",OR($AD31=1,$X31=1)),1,0)</f>
        <v>0</v>
      </c>
      <c r="AH31" s="104" t="n">
        <f aca="false">IF(AND($P31="高",$AG31=0,OR($F31&lt;&gt;"原始數據",$T31&lt;&gt;1)),1,0)</f>
        <v>0</v>
      </c>
      <c r="AI31" s="53" t="str">
        <f aca="false">IF(AND($P31="高",ISNUMBER($AF31)),INDEX(IDX_SrcDate,$AF31),"—")</f>
        <v>—</v>
      </c>
      <c r="AJ31" s="104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6" t="s">
        <v>3249</v>
      </c>
      <c r="B32" s="215" t="s">
        <v>3183</v>
      </c>
      <c r="C32" s="36" t="s">
        <v>3184</v>
      </c>
      <c r="D32" s="36" t="s">
        <v>3250</v>
      </c>
      <c r="E32" s="19" t="s">
        <v>106</v>
      </c>
      <c r="F32" s="36" t="s">
        <v>80</v>
      </c>
      <c r="G32" s="215" t="s">
        <v>65</v>
      </c>
      <c r="H32" s="36" t="s">
        <v>587</v>
      </c>
      <c r="I32" s="6" t="s">
        <v>587</v>
      </c>
      <c r="J32" s="36" t="s">
        <v>587</v>
      </c>
      <c r="K32" s="175" t="n">
        <f aca="false">Inputs!$D$19</f>
        <v>2</v>
      </c>
      <c r="L32" s="175" t="n">
        <f aca="false">Inputs!$F$19</f>
        <v>3.2</v>
      </c>
      <c r="M32" s="36" t="s">
        <v>587</v>
      </c>
      <c r="N32" s="216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587</v>
      </c>
      <c r="P32" s="215" t="s">
        <v>1115</v>
      </c>
      <c r="Q32" s="175" t="n">
        <f aca="false">Inputs!E19</f>
        <v>2.5</v>
      </c>
      <c r="R32" s="36" t="s">
        <v>587</v>
      </c>
      <c r="S32" s="35" t="str">
        <f aca="false">IF(ISNUMBER($AF32),INDEX(IDX_SrcStat,$AF32),"—")</f>
        <v>—</v>
      </c>
      <c r="T32" s="35" t="str">
        <f aca="false">IF(ISNUMBER($AF32),INDEX(IDX_SrcGrade,$AF32),"—")</f>
        <v>—</v>
      </c>
      <c r="U32" s="35" t="s">
        <v>3189</v>
      </c>
      <c r="V32" s="186" t="n">
        <f aca="false">IF(AND($F32="原始數據",$U32&lt;&gt;"連結 SRC"),1,0)</f>
        <v>0</v>
      </c>
      <c r="W32" s="186" t="n">
        <f aca="false">IF(AND($F32="Analogy",OR($H32="—",$H32="")),1,0)</f>
        <v>0</v>
      </c>
      <c r="X32" s="186" t="n">
        <f aca="false">IF(AND(OR($F32="Analogy",$F32="Assumed"),$G32&lt;&gt;"低",$G32&lt;&gt;"高",NOT(ISNUMBER($K32)),NOT(ISNUMBER($L32)),OR($M32="—",$M32="")),1,0)</f>
        <v>0</v>
      </c>
      <c r="Y32" s="186" t="n">
        <f aca="false">IF(AND(OR($F32="Analogy",$F32="Assumed",$F32="Derived（待改公式）",$F32="Derived（公式）"),OR($N32="—",$N32="",$N32=0)),1,0)</f>
        <v>0</v>
      </c>
      <c r="Z32" s="186" t="n">
        <f aca="false">IF(AND($F32="Decision",OR($J32="—",$J32="")),1,0)</f>
        <v>0</v>
      </c>
      <c r="AA32" s="183" t="n">
        <f aca="false">IF(OR($J32="—",$J32=""),0,IF(COUNTIF(Decisions!$A$5:$A$300,$J32)=0,1,0))</f>
        <v>0</v>
      </c>
      <c r="AB32" s="186" t="n">
        <f aca="false">IF(AND($F32="原始數據",$S32&lt;&gt;"Active"),1,0)</f>
        <v>0</v>
      </c>
      <c r="AC32" s="186" t="n">
        <f aca="false">IF(AND(ISNUMBER($K32),ISNUMBER($L32),ISNUMBER($Q32)),IF(OR($Q32&lt;MIN($K32,$L32),$Q32&gt;MAX($K32,$L32)),1,0),0)</f>
        <v>0</v>
      </c>
      <c r="AD32" s="186" t="n">
        <f aca="false">IF(AND(ISNUMBER($T32),$P32="高"),IF($T32=3,1,0),0)</f>
        <v>0</v>
      </c>
      <c r="AE32" s="186" t="n">
        <f aca="false">IF($S32="不存在",1,0)</f>
        <v>0</v>
      </c>
      <c r="AF32" s="35" t="str">
        <f aca="false">IF(OR($H32="—",$H32=""),"—",MATCH($H32,IDX_SrcID,0))</f>
        <v>—</v>
      </c>
      <c r="AG32" s="104" t="n">
        <f aca="false">IF(AND($P32="高",OR($AD32=1,$X32=1)),1,0)</f>
        <v>0</v>
      </c>
      <c r="AH32" s="104" t="n">
        <f aca="false">IF(AND($P32="高",$AG32=0,OR($F32&lt;&gt;"原始數據",$T32&lt;&gt;1)),1,0)</f>
        <v>0</v>
      </c>
      <c r="AI32" s="53" t="str">
        <f aca="false">IF(AND($P32="高",ISNUMBER($AF32)),INDEX(IDX_SrcDate,$AF32),"—")</f>
        <v>—</v>
      </c>
      <c r="AJ32" s="104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6" t="s">
        <v>3251</v>
      </c>
      <c r="B33" s="215" t="s">
        <v>3183</v>
      </c>
      <c r="C33" s="36" t="s">
        <v>3184</v>
      </c>
      <c r="D33" s="36" t="s">
        <v>3252</v>
      </c>
      <c r="E33" s="19" t="s">
        <v>106</v>
      </c>
      <c r="F33" s="36" t="s">
        <v>80</v>
      </c>
      <c r="G33" s="215" t="s">
        <v>1115</v>
      </c>
      <c r="H33" s="36" t="s">
        <v>587</v>
      </c>
      <c r="I33" s="6" t="s">
        <v>587</v>
      </c>
      <c r="J33" s="36" t="s">
        <v>587</v>
      </c>
      <c r="K33" s="215"/>
      <c r="L33" s="215"/>
      <c r="M33" s="36" t="s">
        <v>587</v>
      </c>
      <c r="N33" s="216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587</v>
      </c>
      <c r="P33" s="215" t="s">
        <v>1115</v>
      </c>
      <c r="Q33" s="175" t="n">
        <f aca="false">Inputs!D19</f>
        <v>2</v>
      </c>
      <c r="R33" s="36" t="s">
        <v>587</v>
      </c>
      <c r="S33" s="35" t="str">
        <f aca="false">IF(ISNUMBER($AF33),INDEX(IDX_SrcStat,$AF33),"—")</f>
        <v>—</v>
      </c>
      <c r="T33" s="35" t="str">
        <f aca="false">IF(ISNUMBER($AF33),INDEX(IDX_SrcGrade,$AF33),"—")</f>
        <v>—</v>
      </c>
      <c r="U33" s="35" t="s">
        <v>3189</v>
      </c>
      <c r="V33" s="186" t="n">
        <f aca="false">IF(AND($F33="原始數據",$U33&lt;&gt;"連結 SRC"),1,0)</f>
        <v>0</v>
      </c>
      <c r="W33" s="186" t="n">
        <f aca="false">IF(AND($F33="Analogy",OR($H33="—",$H33="")),1,0)</f>
        <v>0</v>
      </c>
      <c r="X33" s="186" t="n">
        <f aca="false">IF(AND(OR($F33="Analogy",$F33="Assumed"),$G33&lt;&gt;"低",$G33&lt;&gt;"高",NOT(ISNUMBER($K33)),NOT(ISNUMBER($L33)),OR($M33="—",$M33="")),1,0)</f>
        <v>0</v>
      </c>
      <c r="Y33" s="186" t="n">
        <f aca="false">IF(AND(OR($F33="Analogy",$F33="Assumed",$F33="Derived（待改公式）",$F33="Derived（公式）"),OR($N33="—",$N33="",$N33=0)),1,0)</f>
        <v>0</v>
      </c>
      <c r="Z33" s="186" t="n">
        <f aca="false">IF(AND($F33="Decision",OR($J33="—",$J33="")),1,0)</f>
        <v>0</v>
      </c>
      <c r="AA33" s="183" t="n">
        <f aca="false">IF(OR($J33="—",$J33=""),0,IF(COUNTIF(Decisions!$A$5:$A$300,$J33)=0,1,0))</f>
        <v>0</v>
      </c>
      <c r="AB33" s="186" t="n">
        <f aca="false">IF(AND($F33="原始數據",$S33&lt;&gt;"Active"),1,0)</f>
        <v>0</v>
      </c>
      <c r="AC33" s="186" t="n">
        <f aca="false">IF(AND(ISNUMBER($K33),ISNUMBER($L33),ISNUMBER($Q33)),IF(OR($Q33&lt;MIN($K33,$L33),$Q33&gt;MAX($K33,$L33)),1,0),0)</f>
        <v>0</v>
      </c>
      <c r="AD33" s="186" t="n">
        <f aca="false">IF(AND(ISNUMBER($T33),$P33="高"),IF($T33=3,1,0),0)</f>
        <v>0</v>
      </c>
      <c r="AE33" s="186" t="n">
        <f aca="false">IF($S33="不存在",1,0)</f>
        <v>0</v>
      </c>
      <c r="AF33" s="35" t="str">
        <f aca="false">IF(OR($H33="—",$H33=""),"—",MATCH($H33,IDX_SrcID,0))</f>
        <v>—</v>
      </c>
      <c r="AG33" s="104" t="n">
        <f aca="false">IF(AND($P33="高",OR($AD33=1,$X33=1)),1,0)</f>
        <v>0</v>
      </c>
      <c r="AH33" s="104" t="n">
        <f aca="false">IF(AND($P33="高",$AG33=0,OR($F33&lt;&gt;"原始數據",$T33&lt;&gt;1)),1,0)</f>
        <v>0</v>
      </c>
      <c r="AI33" s="53" t="str">
        <f aca="false">IF(AND($P33="高",ISNUMBER($AF33)),INDEX(IDX_SrcDate,$AF33),"—")</f>
        <v>—</v>
      </c>
      <c r="AJ33" s="104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6" t="s">
        <v>3253</v>
      </c>
      <c r="B34" s="215" t="s">
        <v>3183</v>
      </c>
      <c r="C34" s="36" t="s">
        <v>3184</v>
      </c>
      <c r="D34" s="36" t="s">
        <v>3254</v>
      </c>
      <c r="E34" s="19" t="s">
        <v>106</v>
      </c>
      <c r="F34" s="36" t="s">
        <v>80</v>
      </c>
      <c r="G34" s="215" t="s">
        <v>1116</v>
      </c>
      <c r="H34" s="36" t="s">
        <v>587</v>
      </c>
      <c r="I34" s="6" t="s">
        <v>587</v>
      </c>
      <c r="J34" s="36" t="s">
        <v>587</v>
      </c>
      <c r="K34" s="215"/>
      <c r="L34" s="215"/>
      <c r="M34" s="36" t="s">
        <v>587</v>
      </c>
      <c r="N34" s="216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587</v>
      </c>
      <c r="P34" s="215" t="s">
        <v>1115</v>
      </c>
      <c r="Q34" s="175" t="n">
        <f aca="false">Inputs!F19</f>
        <v>3.2</v>
      </c>
      <c r="R34" s="36" t="s">
        <v>587</v>
      </c>
      <c r="S34" s="35" t="str">
        <f aca="false">IF(ISNUMBER($AF34),INDEX(IDX_SrcStat,$AF34),"—")</f>
        <v>—</v>
      </c>
      <c r="T34" s="35" t="str">
        <f aca="false">IF(ISNUMBER($AF34),INDEX(IDX_SrcGrade,$AF34),"—")</f>
        <v>—</v>
      </c>
      <c r="U34" s="35" t="s">
        <v>3189</v>
      </c>
      <c r="V34" s="186" t="n">
        <f aca="false">IF(AND($F34="原始數據",$U34&lt;&gt;"連結 SRC"),1,0)</f>
        <v>0</v>
      </c>
      <c r="W34" s="186" t="n">
        <f aca="false">IF(AND($F34="Analogy",OR($H34="—",$H34="")),1,0)</f>
        <v>0</v>
      </c>
      <c r="X34" s="186" t="n">
        <f aca="false">IF(AND(OR($F34="Analogy",$F34="Assumed"),$G34&lt;&gt;"低",$G34&lt;&gt;"高",NOT(ISNUMBER($K34)),NOT(ISNUMBER($L34)),OR($M34="—",$M34="")),1,0)</f>
        <v>0</v>
      </c>
      <c r="Y34" s="186" t="n">
        <f aca="false">IF(AND(OR($F34="Analogy",$F34="Assumed",$F34="Derived（待改公式）",$F34="Derived（公式）"),OR($N34="—",$N34="",$N34=0)),1,0)</f>
        <v>0</v>
      </c>
      <c r="Z34" s="186" t="n">
        <f aca="false">IF(AND($F34="Decision",OR($J34="—",$J34="")),1,0)</f>
        <v>0</v>
      </c>
      <c r="AA34" s="183" t="n">
        <f aca="false">IF(OR($J34="—",$J34=""),0,IF(COUNTIF(Decisions!$A$5:$A$300,$J34)=0,1,0))</f>
        <v>0</v>
      </c>
      <c r="AB34" s="186" t="n">
        <f aca="false">IF(AND($F34="原始數據",$S34&lt;&gt;"Active"),1,0)</f>
        <v>0</v>
      </c>
      <c r="AC34" s="186" t="n">
        <f aca="false">IF(AND(ISNUMBER($K34),ISNUMBER($L34),ISNUMBER($Q34)),IF(OR($Q34&lt;MIN($K34,$L34),$Q34&gt;MAX($K34,$L34)),1,0),0)</f>
        <v>0</v>
      </c>
      <c r="AD34" s="186" t="n">
        <f aca="false">IF(AND(ISNUMBER($T34),$P34="高"),IF($T34=3,1,0),0)</f>
        <v>0</v>
      </c>
      <c r="AE34" s="186" t="n">
        <f aca="false">IF($S34="不存在",1,0)</f>
        <v>0</v>
      </c>
      <c r="AF34" s="35" t="str">
        <f aca="false">IF(OR($H34="—",$H34=""),"—",MATCH($H34,IDX_SrcID,0))</f>
        <v>—</v>
      </c>
      <c r="AG34" s="104" t="n">
        <f aca="false">IF(AND($P34="高",OR($AD34=1,$X34=1)),1,0)</f>
        <v>0</v>
      </c>
      <c r="AH34" s="104" t="n">
        <f aca="false">IF(AND($P34="高",$AG34=0,OR($F34&lt;&gt;"原始數據",$T34&lt;&gt;1)),1,0)</f>
        <v>0</v>
      </c>
      <c r="AI34" s="53" t="str">
        <f aca="false">IF(AND($P34="高",ISNUMBER($AF34)),INDEX(IDX_SrcDate,$AF34),"—")</f>
        <v>—</v>
      </c>
      <c r="AJ34" s="104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6" t="s">
        <v>3255</v>
      </c>
      <c r="B35" s="215" t="s">
        <v>3183</v>
      </c>
      <c r="C35" s="36" t="s">
        <v>3184</v>
      </c>
      <c r="D35" s="36" t="s">
        <v>3256</v>
      </c>
      <c r="E35" s="19" t="s">
        <v>108</v>
      </c>
      <c r="F35" s="36" t="s">
        <v>80</v>
      </c>
      <c r="G35" s="215" t="s">
        <v>65</v>
      </c>
      <c r="H35" s="36" t="s">
        <v>587</v>
      </c>
      <c r="I35" s="6" t="s">
        <v>587</v>
      </c>
      <c r="J35" s="36" t="s">
        <v>587</v>
      </c>
      <c r="K35" s="175" t="n">
        <f aca="false">Inputs!$D$20</f>
        <v>0.3</v>
      </c>
      <c r="L35" s="175" t="n">
        <f aca="false">Inputs!$F$20</f>
        <v>0.5</v>
      </c>
      <c r="M35" s="36" t="s">
        <v>587</v>
      </c>
      <c r="N35" s="19" t="s">
        <v>3257</v>
      </c>
      <c r="O35" s="6" t="s">
        <v>587</v>
      </c>
      <c r="P35" s="215" t="s">
        <v>1115</v>
      </c>
      <c r="Q35" s="175" t="n">
        <f aca="false">Inputs!E20</f>
        <v>0.4</v>
      </c>
      <c r="R35" s="36" t="s">
        <v>587</v>
      </c>
      <c r="S35" s="35" t="str">
        <f aca="false">IF(ISNUMBER($AF35),INDEX(IDX_SrcStat,$AF35),"—")</f>
        <v>—</v>
      </c>
      <c r="T35" s="35" t="str">
        <f aca="false">IF(ISNUMBER($AF35),INDEX(IDX_SrcGrade,$AF35),"—")</f>
        <v>—</v>
      </c>
      <c r="U35" s="35" t="s">
        <v>3189</v>
      </c>
      <c r="V35" s="186" t="n">
        <f aca="false">IF(AND($F35="原始數據",$U35&lt;&gt;"連結 SRC"),1,0)</f>
        <v>0</v>
      </c>
      <c r="W35" s="186" t="n">
        <f aca="false">IF(AND($F35="Analogy",OR($H35="—",$H35="")),1,0)</f>
        <v>0</v>
      </c>
      <c r="X35" s="186" t="n">
        <f aca="false">IF(AND(OR($F35="Analogy",$F35="Assumed"),$G35&lt;&gt;"低",$G35&lt;&gt;"高",NOT(ISNUMBER($K35)),NOT(ISNUMBER($L35)),OR($M35="—",$M35="")),1,0)</f>
        <v>0</v>
      </c>
      <c r="Y35" s="186" t="n">
        <f aca="false">IF(AND(OR($F35="Analogy",$F35="Assumed",$F35="Derived（待改公式）",$F35="Derived（公式）"),OR($N35="—",$N35="",$N35=0)),1,0)</f>
        <v>0</v>
      </c>
      <c r="Z35" s="186" t="n">
        <f aca="false">IF(AND($F35="Decision",OR($J35="—",$J35="")),1,0)</f>
        <v>0</v>
      </c>
      <c r="AA35" s="183" t="n">
        <f aca="false">IF(OR($J35="—",$J35=""),0,IF(COUNTIF(Decisions!$A$5:$A$300,$J35)=0,1,0))</f>
        <v>0</v>
      </c>
      <c r="AB35" s="186" t="n">
        <f aca="false">IF(AND($F35="原始數據",$S35&lt;&gt;"Active"),1,0)</f>
        <v>0</v>
      </c>
      <c r="AC35" s="186" t="n">
        <f aca="false">IF(AND(ISNUMBER($K35),ISNUMBER($L35),ISNUMBER($Q35)),IF(OR($Q35&lt;MIN($K35,$L35),$Q35&gt;MAX($K35,$L35)),1,0),0)</f>
        <v>0</v>
      </c>
      <c r="AD35" s="186" t="n">
        <f aca="false">IF(AND(ISNUMBER($T35),$P35="高"),IF($T35=3,1,0),0)</f>
        <v>0</v>
      </c>
      <c r="AE35" s="186" t="n">
        <f aca="false">IF($S35="不存在",1,0)</f>
        <v>0</v>
      </c>
      <c r="AF35" s="35" t="str">
        <f aca="false">IF(OR($H35="—",$H35=""),"—",MATCH($H35,IDX_SrcID,0))</f>
        <v>—</v>
      </c>
      <c r="AG35" s="104" t="n">
        <f aca="false">IF(AND($P35="高",OR($AD35=1,$X35=1)),1,0)</f>
        <v>0</v>
      </c>
      <c r="AH35" s="104" t="n">
        <f aca="false">IF(AND($P35="高",$AG35=0,OR($F35&lt;&gt;"原始數據",$T35&lt;&gt;1)),1,0)</f>
        <v>0</v>
      </c>
      <c r="AI35" s="53" t="str">
        <f aca="false">IF(AND($P35="高",ISNUMBER($AF35)),INDEX(IDX_SrcDate,$AF35),"—")</f>
        <v>—</v>
      </c>
      <c r="AJ35" s="104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6" t="s">
        <v>3258</v>
      </c>
      <c r="B36" s="215" t="s">
        <v>3183</v>
      </c>
      <c r="C36" s="36" t="s">
        <v>3184</v>
      </c>
      <c r="D36" s="36" t="s">
        <v>3259</v>
      </c>
      <c r="E36" s="19" t="s">
        <v>108</v>
      </c>
      <c r="F36" s="36" t="s">
        <v>80</v>
      </c>
      <c r="G36" s="215" t="s">
        <v>1115</v>
      </c>
      <c r="H36" s="36" t="s">
        <v>587</v>
      </c>
      <c r="I36" s="6" t="s">
        <v>587</v>
      </c>
      <c r="J36" s="36" t="s">
        <v>587</v>
      </c>
      <c r="K36" s="215"/>
      <c r="L36" s="215"/>
      <c r="M36" s="36" t="s">
        <v>587</v>
      </c>
      <c r="N36" s="19" t="s">
        <v>3257</v>
      </c>
      <c r="O36" s="6" t="s">
        <v>587</v>
      </c>
      <c r="P36" s="215" t="s">
        <v>1115</v>
      </c>
      <c r="Q36" s="175" t="n">
        <f aca="false">Inputs!D20</f>
        <v>0.3</v>
      </c>
      <c r="R36" s="36" t="s">
        <v>587</v>
      </c>
      <c r="S36" s="35" t="str">
        <f aca="false">IF(ISNUMBER($AF36),INDEX(IDX_SrcStat,$AF36),"—")</f>
        <v>—</v>
      </c>
      <c r="T36" s="35" t="str">
        <f aca="false">IF(ISNUMBER($AF36),INDEX(IDX_SrcGrade,$AF36),"—")</f>
        <v>—</v>
      </c>
      <c r="U36" s="35" t="s">
        <v>3189</v>
      </c>
      <c r="V36" s="186" t="n">
        <f aca="false">IF(AND($F36="原始數據",$U36&lt;&gt;"連結 SRC"),1,0)</f>
        <v>0</v>
      </c>
      <c r="W36" s="186" t="n">
        <f aca="false">IF(AND($F36="Analogy",OR($H36="—",$H36="")),1,0)</f>
        <v>0</v>
      </c>
      <c r="X36" s="186" t="n">
        <f aca="false">IF(AND(OR($F36="Analogy",$F36="Assumed"),$G36&lt;&gt;"低",$G36&lt;&gt;"高",NOT(ISNUMBER($K36)),NOT(ISNUMBER($L36)),OR($M36="—",$M36="")),1,0)</f>
        <v>0</v>
      </c>
      <c r="Y36" s="186" t="n">
        <f aca="false">IF(AND(OR($F36="Analogy",$F36="Assumed",$F36="Derived（待改公式）",$F36="Derived（公式）"),OR($N36="—",$N36="",$N36=0)),1,0)</f>
        <v>0</v>
      </c>
      <c r="Z36" s="186" t="n">
        <f aca="false">IF(AND($F36="Decision",OR($J36="—",$J36="")),1,0)</f>
        <v>0</v>
      </c>
      <c r="AA36" s="183" t="n">
        <f aca="false">IF(OR($J36="—",$J36=""),0,IF(COUNTIF(Decisions!$A$5:$A$300,$J36)=0,1,0))</f>
        <v>0</v>
      </c>
      <c r="AB36" s="186" t="n">
        <f aca="false">IF(AND($F36="原始數據",$S36&lt;&gt;"Active"),1,0)</f>
        <v>0</v>
      </c>
      <c r="AC36" s="186" t="n">
        <f aca="false">IF(AND(ISNUMBER($K36),ISNUMBER($L36),ISNUMBER($Q36)),IF(OR($Q36&lt;MIN($K36,$L36),$Q36&gt;MAX($K36,$L36)),1,0),0)</f>
        <v>0</v>
      </c>
      <c r="AD36" s="186" t="n">
        <f aca="false">IF(AND(ISNUMBER($T36),$P36="高"),IF($T36=3,1,0),0)</f>
        <v>0</v>
      </c>
      <c r="AE36" s="186" t="n">
        <f aca="false">IF($S36="不存在",1,0)</f>
        <v>0</v>
      </c>
      <c r="AF36" s="35" t="str">
        <f aca="false">IF(OR($H36="—",$H36=""),"—",MATCH($H36,IDX_SrcID,0))</f>
        <v>—</v>
      </c>
      <c r="AG36" s="104" t="n">
        <f aca="false">IF(AND($P36="高",OR($AD36=1,$X36=1)),1,0)</f>
        <v>0</v>
      </c>
      <c r="AH36" s="104" t="n">
        <f aca="false">IF(AND($P36="高",$AG36=0,OR($F36&lt;&gt;"原始數據",$T36&lt;&gt;1)),1,0)</f>
        <v>0</v>
      </c>
      <c r="AI36" s="53" t="str">
        <f aca="false">IF(AND($P36="高",ISNUMBER($AF36)),INDEX(IDX_SrcDate,$AF36),"—")</f>
        <v>—</v>
      </c>
      <c r="AJ36" s="104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6" t="s">
        <v>3260</v>
      </c>
      <c r="B37" s="215" t="s">
        <v>3183</v>
      </c>
      <c r="C37" s="36" t="s">
        <v>3184</v>
      </c>
      <c r="D37" s="36" t="s">
        <v>3261</v>
      </c>
      <c r="E37" s="19" t="s">
        <v>108</v>
      </c>
      <c r="F37" s="36" t="s">
        <v>80</v>
      </c>
      <c r="G37" s="215" t="s">
        <v>1116</v>
      </c>
      <c r="H37" s="36" t="s">
        <v>587</v>
      </c>
      <c r="I37" s="6" t="s">
        <v>587</v>
      </c>
      <c r="J37" s="36" t="s">
        <v>587</v>
      </c>
      <c r="K37" s="215"/>
      <c r="L37" s="215"/>
      <c r="M37" s="36" t="s">
        <v>587</v>
      </c>
      <c r="N37" s="19" t="s">
        <v>3257</v>
      </c>
      <c r="O37" s="6" t="s">
        <v>587</v>
      </c>
      <c r="P37" s="215" t="s">
        <v>1115</v>
      </c>
      <c r="Q37" s="175" t="n">
        <f aca="false">Inputs!F20</f>
        <v>0.5</v>
      </c>
      <c r="R37" s="36" t="s">
        <v>587</v>
      </c>
      <c r="S37" s="35" t="str">
        <f aca="false">IF(ISNUMBER($AF37),INDEX(IDX_SrcStat,$AF37),"—")</f>
        <v>—</v>
      </c>
      <c r="T37" s="35" t="str">
        <f aca="false">IF(ISNUMBER($AF37),INDEX(IDX_SrcGrade,$AF37),"—")</f>
        <v>—</v>
      </c>
      <c r="U37" s="35" t="s">
        <v>3189</v>
      </c>
      <c r="V37" s="186" t="n">
        <f aca="false">IF(AND($F37="原始數據",$U37&lt;&gt;"連結 SRC"),1,0)</f>
        <v>0</v>
      </c>
      <c r="W37" s="186" t="n">
        <f aca="false">IF(AND($F37="Analogy",OR($H37="—",$H37="")),1,0)</f>
        <v>0</v>
      </c>
      <c r="X37" s="186" t="n">
        <f aca="false">IF(AND(OR($F37="Analogy",$F37="Assumed"),$G37&lt;&gt;"低",$G37&lt;&gt;"高",NOT(ISNUMBER($K37)),NOT(ISNUMBER($L37)),OR($M37="—",$M37="")),1,0)</f>
        <v>0</v>
      </c>
      <c r="Y37" s="186" t="n">
        <f aca="false">IF(AND(OR($F37="Analogy",$F37="Assumed",$F37="Derived（待改公式）",$F37="Derived（公式）"),OR($N37="—",$N37="",$N37=0)),1,0)</f>
        <v>0</v>
      </c>
      <c r="Z37" s="186" t="n">
        <f aca="false">IF(AND($F37="Decision",OR($J37="—",$J37="")),1,0)</f>
        <v>0</v>
      </c>
      <c r="AA37" s="183" t="n">
        <f aca="false">IF(OR($J37="—",$J37=""),0,IF(COUNTIF(Decisions!$A$5:$A$300,$J37)=0,1,0))</f>
        <v>0</v>
      </c>
      <c r="AB37" s="186" t="n">
        <f aca="false">IF(AND($F37="原始數據",$S37&lt;&gt;"Active"),1,0)</f>
        <v>0</v>
      </c>
      <c r="AC37" s="186" t="n">
        <f aca="false">IF(AND(ISNUMBER($K37),ISNUMBER($L37),ISNUMBER($Q37)),IF(OR($Q37&lt;MIN($K37,$L37),$Q37&gt;MAX($K37,$L37)),1,0),0)</f>
        <v>0</v>
      </c>
      <c r="AD37" s="186" t="n">
        <f aca="false">IF(AND(ISNUMBER($T37),$P37="高"),IF($T37=3,1,0),0)</f>
        <v>0</v>
      </c>
      <c r="AE37" s="186" t="n">
        <f aca="false">IF($S37="不存在",1,0)</f>
        <v>0</v>
      </c>
      <c r="AF37" s="35" t="str">
        <f aca="false">IF(OR($H37="—",$H37=""),"—",MATCH($H37,IDX_SrcID,0))</f>
        <v>—</v>
      </c>
      <c r="AG37" s="104" t="n">
        <f aca="false">IF(AND($P37="高",OR($AD37=1,$X37=1)),1,0)</f>
        <v>0</v>
      </c>
      <c r="AH37" s="104" t="n">
        <f aca="false">IF(AND($P37="高",$AG37=0,OR($F37&lt;&gt;"原始數據",$T37&lt;&gt;1)),1,0)</f>
        <v>0</v>
      </c>
      <c r="AI37" s="53" t="str">
        <f aca="false">IF(AND($P37="高",ISNUMBER($AF37)),INDEX(IDX_SrcDate,$AF37),"—")</f>
        <v>—</v>
      </c>
      <c r="AJ37" s="104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6" t="s">
        <v>3262</v>
      </c>
      <c r="B38" s="215" t="s">
        <v>3183</v>
      </c>
      <c r="C38" s="36" t="s">
        <v>3184</v>
      </c>
      <c r="D38" s="36" t="s">
        <v>3263</v>
      </c>
      <c r="E38" s="19" t="s">
        <v>109</v>
      </c>
      <c r="F38" s="36" t="s">
        <v>80</v>
      </c>
      <c r="G38" s="215" t="s">
        <v>65</v>
      </c>
      <c r="H38" s="36" t="s">
        <v>587</v>
      </c>
      <c r="I38" s="6" t="s">
        <v>587</v>
      </c>
      <c r="J38" s="36" t="s">
        <v>587</v>
      </c>
      <c r="K38" s="179" t="n">
        <f aca="false">Inputs!$D$21</f>
        <v>0.12</v>
      </c>
      <c r="L38" s="179" t="n">
        <f aca="false">Inputs!$F$21</f>
        <v>0.18</v>
      </c>
      <c r="M38" s="36" t="s">
        <v>587</v>
      </c>
      <c r="N38" s="6" t="s">
        <v>3264</v>
      </c>
      <c r="O38" s="6" t="s">
        <v>587</v>
      </c>
      <c r="P38" s="215" t="s">
        <v>1115</v>
      </c>
      <c r="Q38" s="179" t="n">
        <f aca="false">Inputs!E21</f>
        <v>0.15</v>
      </c>
      <c r="R38" s="36" t="s">
        <v>587</v>
      </c>
      <c r="S38" s="35" t="str">
        <f aca="false">IF(ISNUMBER($AF38),INDEX(IDX_SrcStat,$AF38),"—")</f>
        <v>—</v>
      </c>
      <c r="T38" s="35" t="str">
        <f aca="false">IF(ISNUMBER($AF38),INDEX(IDX_SrcGrade,$AF38),"—")</f>
        <v>—</v>
      </c>
      <c r="U38" s="35" t="s">
        <v>3189</v>
      </c>
      <c r="V38" s="186" t="n">
        <f aca="false">IF(AND($F38="原始數據",$U38&lt;&gt;"連結 SRC"),1,0)</f>
        <v>0</v>
      </c>
      <c r="W38" s="186" t="n">
        <f aca="false">IF(AND($F38="Analogy",OR($H38="—",$H38="")),1,0)</f>
        <v>0</v>
      </c>
      <c r="X38" s="186" t="n">
        <f aca="false">IF(AND(OR($F38="Analogy",$F38="Assumed"),$G38&lt;&gt;"低",$G38&lt;&gt;"高",NOT(ISNUMBER($K38)),NOT(ISNUMBER($L38)),OR($M38="—",$M38="")),1,0)</f>
        <v>0</v>
      </c>
      <c r="Y38" s="186" t="n">
        <f aca="false">IF(AND(OR($F38="Analogy",$F38="Assumed",$F38="Derived（待改公式）",$F38="Derived（公式）"),OR($N38="—",$N38="",$N38=0)),1,0)</f>
        <v>0</v>
      </c>
      <c r="Z38" s="186" t="n">
        <f aca="false">IF(AND($F38="Decision",OR($J38="—",$J38="")),1,0)</f>
        <v>0</v>
      </c>
      <c r="AA38" s="183" t="n">
        <f aca="false">IF(OR($J38="—",$J38=""),0,IF(COUNTIF(Decisions!$A$5:$A$300,$J38)=0,1,0))</f>
        <v>0</v>
      </c>
      <c r="AB38" s="186" t="n">
        <f aca="false">IF(AND($F38="原始數據",$S38&lt;&gt;"Active"),1,0)</f>
        <v>0</v>
      </c>
      <c r="AC38" s="186" t="n">
        <f aca="false">IF(AND(ISNUMBER($K38),ISNUMBER($L38),ISNUMBER($Q38)),IF(OR($Q38&lt;MIN($K38,$L38),$Q38&gt;MAX($K38,$L38)),1,0),0)</f>
        <v>0</v>
      </c>
      <c r="AD38" s="186" t="n">
        <f aca="false">IF(AND(ISNUMBER($T38),$P38="高"),IF($T38=3,1,0),0)</f>
        <v>0</v>
      </c>
      <c r="AE38" s="186" t="n">
        <f aca="false">IF($S38="不存在",1,0)</f>
        <v>0</v>
      </c>
      <c r="AF38" s="35" t="str">
        <f aca="false">IF(OR($H38="—",$H38=""),"—",MATCH($H38,IDX_SrcID,0))</f>
        <v>—</v>
      </c>
      <c r="AG38" s="104" t="n">
        <f aca="false">IF(AND($P38="高",OR($AD38=1,$X38=1)),1,0)</f>
        <v>0</v>
      </c>
      <c r="AH38" s="104" t="n">
        <f aca="false">IF(AND($P38="高",$AG38=0,OR($F38&lt;&gt;"原始數據",$T38&lt;&gt;1)),1,0)</f>
        <v>0</v>
      </c>
      <c r="AI38" s="53" t="str">
        <f aca="false">IF(AND($P38="高",ISNUMBER($AF38)),INDEX(IDX_SrcDate,$AF38),"—")</f>
        <v>—</v>
      </c>
      <c r="AJ38" s="104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6" t="s">
        <v>3265</v>
      </c>
      <c r="B39" s="215" t="s">
        <v>3183</v>
      </c>
      <c r="C39" s="36" t="s">
        <v>3184</v>
      </c>
      <c r="D39" s="36" t="s">
        <v>3266</v>
      </c>
      <c r="E39" s="19" t="s">
        <v>109</v>
      </c>
      <c r="F39" s="36" t="s">
        <v>80</v>
      </c>
      <c r="G39" s="215" t="s">
        <v>1115</v>
      </c>
      <c r="H39" s="36" t="s">
        <v>587</v>
      </c>
      <c r="I39" s="6" t="s">
        <v>587</v>
      </c>
      <c r="J39" s="36" t="s">
        <v>587</v>
      </c>
      <c r="K39" s="215"/>
      <c r="L39" s="215"/>
      <c r="M39" s="36" t="s">
        <v>587</v>
      </c>
      <c r="N39" s="6" t="s">
        <v>3264</v>
      </c>
      <c r="O39" s="6" t="s">
        <v>587</v>
      </c>
      <c r="P39" s="215" t="s">
        <v>1115</v>
      </c>
      <c r="Q39" s="179" t="n">
        <f aca="false">Inputs!D21</f>
        <v>0.12</v>
      </c>
      <c r="R39" s="36" t="s">
        <v>587</v>
      </c>
      <c r="S39" s="35" t="str">
        <f aca="false">IF(ISNUMBER($AF39),INDEX(IDX_SrcStat,$AF39),"—")</f>
        <v>—</v>
      </c>
      <c r="T39" s="35" t="str">
        <f aca="false">IF(ISNUMBER($AF39),INDEX(IDX_SrcGrade,$AF39),"—")</f>
        <v>—</v>
      </c>
      <c r="U39" s="35" t="s">
        <v>3189</v>
      </c>
      <c r="V39" s="186" t="n">
        <f aca="false">IF(AND($F39="原始數據",$U39&lt;&gt;"連結 SRC"),1,0)</f>
        <v>0</v>
      </c>
      <c r="W39" s="186" t="n">
        <f aca="false">IF(AND($F39="Analogy",OR($H39="—",$H39="")),1,0)</f>
        <v>0</v>
      </c>
      <c r="X39" s="186" t="n">
        <f aca="false">IF(AND(OR($F39="Analogy",$F39="Assumed"),$G39&lt;&gt;"低",$G39&lt;&gt;"高",NOT(ISNUMBER($K39)),NOT(ISNUMBER($L39)),OR($M39="—",$M39="")),1,0)</f>
        <v>0</v>
      </c>
      <c r="Y39" s="186" t="n">
        <f aca="false">IF(AND(OR($F39="Analogy",$F39="Assumed",$F39="Derived（待改公式）",$F39="Derived（公式）"),OR($N39="—",$N39="",$N39=0)),1,0)</f>
        <v>0</v>
      </c>
      <c r="Z39" s="186" t="n">
        <f aca="false">IF(AND($F39="Decision",OR($J39="—",$J39="")),1,0)</f>
        <v>0</v>
      </c>
      <c r="AA39" s="183" t="n">
        <f aca="false">IF(OR($J39="—",$J39=""),0,IF(COUNTIF(Decisions!$A$5:$A$300,$J39)=0,1,0))</f>
        <v>0</v>
      </c>
      <c r="AB39" s="186" t="n">
        <f aca="false">IF(AND($F39="原始數據",$S39&lt;&gt;"Active"),1,0)</f>
        <v>0</v>
      </c>
      <c r="AC39" s="186" t="n">
        <f aca="false">IF(AND(ISNUMBER($K39),ISNUMBER($L39),ISNUMBER($Q39)),IF(OR($Q39&lt;MIN($K39,$L39),$Q39&gt;MAX($K39,$L39)),1,0),0)</f>
        <v>0</v>
      </c>
      <c r="AD39" s="186" t="n">
        <f aca="false">IF(AND(ISNUMBER($T39),$P39="高"),IF($T39=3,1,0),0)</f>
        <v>0</v>
      </c>
      <c r="AE39" s="186" t="n">
        <f aca="false">IF($S39="不存在",1,0)</f>
        <v>0</v>
      </c>
      <c r="AF39" s="35" t="str">
        <f aca="false">IF(OR($H39="—",$H39=""),"—",MATCH($H39,IDX_SrcID,0))</f>
        <v>—</v>
      </c>
      <c r="AG39" s="104" t="n">
        <f aca="false">IF(AND($P39="高",OR($AD39=1,$X39=1)),1,0)</f>
        <v>0</v>
      </c>
      <c r="AH39" s="104" t="n">
        <f aca="false">IF(AND($P39="高",$AG39=0,OR($F39&lt;&gt;"原始數據",$T39&lt;&gt;1)),1,0)</f>
        <v>0</v>
      </c>
      <c r="AI39" s="53" t="str">
        <f aca="false">IF(AND($P39="高",ISNUMBER($AF39)),INDEX(IDX_SrcDate,$AF39),"—")</f>
        <v>—</v>
      </c>
      <c r="AJ39" s="104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6" t="s">
        <v>3267</v>
      </c>
      <c r="B40" s="215" t="s">
        <v>3183</v>
      </c>
      <c r="C40" s="36" t="s">
        <v>3184</v>
      </c>
      <c r="D40" s="36" t="s">
        <v>3268</v>
      </c>
      <c r="E40" s="19" t="s">
        <v>109</v>
      </c>
      <c r="F40" s="36" t="s">
        <v>80</v>
      </c>
      <c r="G40" s="215" t="s">
        <v>1116</v>
      </c>
      <c r="H40" s="36" t="s">
        <v>587</v>
      </c>
      <c r="I40" s="6" t="s">
        <v>587</v>
      </c>
      <c r="J40" s="36" t="s">
        <v>587</v>
      </c>
      <c r="K40" s="215"/>
      <c r="L40" s="215"/>
      <c r="M40" s="36" t="s">
        <v>587</v>
      </c>
      <c r="N40" s="6" t="s">
        <v>3264</v>
      </c>
      <c r="O40" s="6" t="s">
        <v>587</v>
      </c>
      <c r="P40" s="215" t="s">
        <v>1115</v>
      </c>
      <c r="Q40" s="179" t="n">
        <f aca="false">Inputs!F21</f>
        <v>0.18</v>
      </c>
      <c r="R40" s="36" t="s">
        <v>587</v>
      </c>
      <c r="S40" s="35" t="str">
        <f aca="false">IF(ISNUMBER($AF40),INDEX(IDX_SrcStat,$AF40),"—")</f>
        <v>—</v>
      </c>
      <c r="T40" s="35" t="str">
        <f aca="false">IF(ISNUMBER($AF40),INDEX(IDX_SrcGrade,$AF40),"—")</f>
        <v>—</v>
      </c>
      <c r="U40" s="35" t="s">
        <v>3189</v>
      </c>
      <c r="V40" s="186" t="n">
        <f aca="false">IF(AND($F40="原始數據",$U40&lt;&gt;"連結 SRC"),1,0)</f>
        <v>0</v>
      </c>
      <c r="W40" s="186" t="n">
        <f aca="false">IF(AND($F40="Analogy",OR($H40="—",$H40="")),1,0)</f>
        <v>0</v>
      </c>
      <c r="X40" s="186" t="n">
        <f aca="false">IF(AND(OR($F40="Analogy",$F40="Assumed"),$G40&lt;&gt;"低",$G40&lt;&gt;"高",NOT(ISNUMBER($K40)),NOT(ISNUMBER($L40)),OR($M40="—",$M40="")),1,0)</f>
        <v>0</v>
      </c>
      <c r="Y40" s="186" t="n">
        <f aca="false">IF(AND(OR($F40="Analogy",$F40="Assumed",$F40="Derived（待改公式）",$F40="Derived（公式）"),OR($N40="—",$N40="",$N40=0)),1,0)</f>
        <v>0</v>
      </c>
      <c r="Z40" s="186" t="n">
        <f aca="false">IF(AND($F40="Decision",OR($J40="—",$J40="")),1,0)</f>
        <v>0</v>
      </c>
      <c r="AA40" s="183" t="n">
        <f aca="false">IF(OR($J40="—",$J40=""),0,IF(COUNTIF(Decisions!$A$5:$A$300,$J40)=0,1,0))</f>
        <v>0</v>
      </c>
      <c r="AB40" s="186" t="n">
        <f aca="false">IF(AND($F40="原始數據",$S40&lt;&gt;"Active"),1,0)</f>
        <v>0</v>
      </c>
      <c r="AC40" s="186" t="n">
        <f aca="false">IF(AND(ISNUMBER($K40),ISNUMBER($L40),ISNUMBER($Q40)),IF(OR($Q40&lt;MIN($K40,$L40),$Q40&gt;MAX($K40,$L40)),1,0),0)</f>
        <v>0</v>
      </c>
      <c r="AD40" s="186" t="n">
        <f aca="false">IF(AND(ISNUMBER($T40),$P40="高"),IF($T40=3,1,0),0)</f>
        <v>0</v>
      </c>
      <c r="AE40" s="186" t="n">
        <f aca="false">IF($S40="不存在",1,0)</f>
        <v>0</v>
      </c>
      <c r="AF40" s="35" t="str">
        <f aca="false">IF(OR($H40="—",$H40=""),"—",MATCH($H40,IDX_SrcID,0))</f>
        <v>—</v>
      </c>
      <c r="AG40" s="104" t="n">
        <f aca="false">IF(AND($P40="高",OR($AD40=1,$X40=1)),1,0)</f>
        <v>0</v>
      </c>
      <c r="AH40" s="104" t="n">
        <f aca="false">IF(AND($P40="高",$AG40=0,OR($F40&lt;&gt;"原始數據",$T40&lt;&gt;1)),1,0)</f>
        <v>0</v>
      </c>
      <c r="AI40" s="53" t="str">
        <f aca="false">IF(AND($P40="高",ISNUMBER($AF40)),INDEX(IDX_SrcDate,$AF40),"—")</f>
        <v>—</v>
      </c>
      <c r="AJ40" s="104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6" t="s">
        <v>3269</v>
      </c>
      <c r="B41" s="215" t="s">
        <v>3183</v>
      </c>
      <c r="C41" s="36" t="s">
        <v>3184</v>
      </c>
      <c r="D41" s="36" t="s">
        <v>3270</v>
      </c>
      <c r="E41" s="6" t="s">
        <v>122</v>
      </c>
      <c r="F41" s="36" t="s">
        <v>80</v>
      </c>
      <c r="G41" s="215" t="s">
        <v>65</v>
      </c>
      <c r="H41" s="36" t="s">
        <v>587</v>
      </c>
      <c r="I41" s="6" t="s">
        <v>587</v>
      </c>
      <c r="J41" s="36" t="s">
        <v>3203</v>
      </c>
      <c r="K41" s="179" t="n">
        <f aca="false">Inputs!$D$28</f>
        <v>0.08</v>
      </c>
      <c r="L41" s="179" t="n">
        <f aca="false">Inputs!$F$28</f>
        <v>0.13</v>
      </c>
      <c r="M41" s="36" t="s">
        <v>587</v>
      </c>
      <c r="N41" s="216" t="str">
        <f aca="false">Inputs!$H$28</f>
        <v>與擁有者無關的單一假設；下游公司模型以自身 WACC 覆寫（Andy 2026-09-30 決定）</v>
      </c>
      <c r="O41" s="6" t="s">
        <v>587</v>
      </c>
      <c r="P41" s="215" t="s">
        <v>3244</v>
      </c>
      <c r="Q41" s="179" t="n">
        <f aca="false">Inputs!E28</f>
        <v>0.1</v>
      </c>
      <c r="R41" s="36" t="s">
        <v>587</v>
      </c>
      <c r="S41" s="35" t="str">
        <f aca="false">IF(ISNUMBER($AF41),INDEX(IDX_SrcStat,$AF41),"—")</f>
        <v>—</v>
      </c>
      <c r="T41" s="35" t="str">
        <f aca="false">IF(ISNUMBER($AF41),INDEX(IDX_SrcGrade,$AF41),"—")</f>
        <v>—</v>
      </c>
      <c r="U41" s="35" t="s">
        <v>3189</v>
      </c>
      <c r="V41" s="186" t="n">
        <f aca="false">IF(AND($F41="原始數據",$U41&lt;&gt;"連結 SRC"),1,0)</f>
        <v>0</v>
      </c>
      <c r="W41" s="186" t="n">
        <f aca="false">IF(AND($F41="Analogy",OR($H41="—",$H41="")),1,0)</f>
        <v>0</v>
      </c>
      <c r="X41" s="186" t="n">
        <f aca="false">IF(AND(OR($F41="Analogy",$F41="Assumed"),$G41&lt;&gt;"低",$G41&lt;&gt;"高",NOT(ISNUMBER($K41)),NOT(ISNUMBER($L41)),OR($M41="—",$M41="")),1,0)</f>
        <v>0</v>
      </c>
      <c r="Y41" s="186" t="n">
        <f aca="false">IF(AND(OR($F41="Analogy",$F41="Assumed",$F41="Derived（待改公式）",$F41="Derived（公式）"),OR($N41="—",$N41="",$N41=0)),1,0)</f>
        <v>0</v>
      </c>
      <c r="Z41" s="186" t="n">
        <f aca="false">IF(AND($F41="Decision",OR($J41="—",$J41="")),1,0)</f>
        <v>0</v>
      </c>
      <c r="AA41" s="183" t="n">
        <f aca="false">IF(OR($J41="—",$J41=""),0,IF(COUNTIF(Decisions!$A$5:$A$300,$J41)=0,1,0))</f>
        <v>0</v>
      </c>
      <c r="AB41" s="186" t="n">
        <f aca="false">IF(AND($F41="原始數據",$S41&lt;&gt;"Active"),1,0)</f>
        <v>0</v>
      </c>
      <c r="AC41" s="186" t="n">
        <f aca="false">IF(AND(ISNUMBER($K41),ISNUMBER($L41),ISNUMBER($Q41)),IF(OR($Q41&lt;MIN($K41,$L41),$Q41&gt;MAX($K41,$L41)),1,0),0)</f>
        <v>0</v>
      </c>
      <c r="AD41" s="186" t="n">
        <f aca="false">IF(AND(ISNUMBER($T41),$P41="高"),IF($T41=3,1,0),0)</f>
        <v>0</v>
      </c>
      <c r="AE41" s="186" t="n">
        <f aca="false">IF($S41="不存在",1,0)</f>
        <v>0</v>
      </c>
      <c r="AF41" s="35" t="str">
        <f aca="false">IF(OR($H41="—",$H41=""),"—",MATCH($H41,IDX_SrcID,0))</f>
        <v>—</v>
      </c>
      <c r="AG41" s="104" t="n">
        <f aca="false">IF(AND($P41="高",OR($AD41=1,$X41=1)),1,0)</f>
        <v>0</v>
      </c>
      <c r="AH41" s="104" t="n">
        <f aca="false">IF(AND($P41="高",$AG41=0,OR($F41&lt;&gt;"原始數據",$T41&lt;&gt;1)),1,0)</f>
        <v>0</v>
      </c>
      <c r="AI41" s="53" t="str">
        <f aca="false">IF(AND($P41="高",ISNUMBER($AF41)),INDEX(IDX_SrcDate,$AF41),"—")</f>
        <v>—</v>
      </c>
      <c r="AJ41" s="104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6" t="s">
        <v>3271</v>
      </c>
      <c r="B42" s="215" t="s">
        <v>3183</v>
      </c>
      <c r="C42" s="36" t="s">
        <v>3184</v>
      </c>
      <c r="D42" s="36" t="s">
        <v>3272</v>
      </c>
      <c r="E42" s="6" t="s">
        <v>122</v>
      </c>
      <c r="F42" s="36" t="s">
        <v>80</v>
      </c>
      <c r="G42" s="215" t="s">
        <v>1115</v>
      </c>
      <c r="H42" s="36" t="s">
        <v>587</v>
      </c>
      <c r="I42" s="6" t="s">
        <v>587</v>
      </c>
      <c r="J42" s="36" t="s">
        <v>587</v>
      </c>
      <c r="K42" s="215"/>
      <c r="L42" s="215"/>
      <c r="M42" s="36" t="s">
        <v>587</v>
      </c>
      <c r="N42" s="216" t="str">
        <f aca="false">Inputs!$H$28</f>
        <v>與擁有者無關的單一假設；下游公司模型以自身 WACC 覆寫（Andy 2026-09-30 決定）</v>
      </c>
      <c r="O42" s="6" t="s">
        <v>587</v>
      </c>
      <c r="P42" s="215" t="s">
        <v>3244</v>
      </c>
      <c r="Q42" s="179" t="n">
        <f aca="false">Inputs!D28</f>
        <v>0.08</v>
      </c>
      <c r="R42" s="36" t="s">
        <v>587</v>
      </c>
      <c r="S42" s="35" t="str">
        <f aca="false">IF(ISNUMBER($AF42),INDEX(IDX_SrcStat,$AF42),"—")</f>
        <v>—</v>
      </c>
      <c r="T42" s="35" t="str">
        <f aca="false">IF(ISNUMBER($AF42),INDEX(IDX_SrcGrade,$AF42),"—")</f>
        <v>—</v>
      </c>
      <c r="U42" s="35" t="s">
        <v>3189</v>
      </c>
      <c r="V42" s="186" t="n">
        <f aca="false">IF(AND($F42="原始數據",$U42&lt;&gt;"連結 SRC"),1,0)</f>
        <v>0</v>
      </c>
      <c r="W42" s="186" t="n">
        <f aca="false">IF(AND($F42="Analogy",OR($H42="—",$H42="")),1,0)</f>
        <v>0</v>
      </c>
      <c r="X42" s="186" t="n">
        <f aca="false">IF(AND(OR($F42="Analogy",$F42="Assumed"),$G42&lt;&gt;"低",$G42&lt;&gt;"高",NOT(ISNUMBER($K42)),NOT(ISNUMBER($L42)),OR($M42="—",$M42="")),1,0)</f>
        <v>0</v>
      </c>
      <c r="Y42" s="186" t="n">
        <f aca="false">IF(AND(OR($F42="Analogy",$F42="Assumed",$F42="Derived（待改公式）",$F42="Derived（公式）"),OR($N42="—",$N42="",$N42=0)),1,0)</f>
        <v>0</v>
      </c>
      <c r="Z42" s="186" t="n">
        <f aca="false">IF(AND($F42="Decision",OR($J42="—",$J42="")),1,0)</f>
        <v>0</v>
      </c>
      <c r="AA42" s="183" t="n">
        <f aca="false">IF(OR($J42="—",$J42=""),0,IF(COUNTIF(Decisions!$A$5:$A$300,$J42)=0,1,0))</f>
        <v>0</v>
      </c>
      <c r="AB42" s="186" t="n">
        <f aca="false">IF(AND($F42="原始數據",$S42&lt;&gt;"Active"),1,0)</f>
        <v>0</v>
      </c>
      <c r="AC42" s="186" t="n">
        <f aca="false">IF(AND(ISNUMBER($K42),ISNUMBER($L42),ISNUMBER($Q42)),IF(OR($Q42&lt;MIN($K42,$L42),$Q42&gt;MAX($K42,$L42)),1,0),0)</f>
        <v>0</v>
      </c>
      <c r="AD42" s="186" t="n">
        <f aca="false">IF(AND(ISNUMBER($T42),$P42="高"),IF($T42=3,1,0),0)</f>
        <v>0</v>
      </c>
      <c r="AE42" s="186" t="n">
        <f aca="false">IF($S42="不存在",1,0)</f>
        <v>0</v>
      </c>
      <c r="AF42" s="35" t="str">
        <f aca="false">IF(OR($H42="—",$H42=""),"—",MATCH($H42,IDX_SrcID,0))</f>
        <v>—</v>
      </c>
      <c r="AG42" s="104" t="n">
        <f aca="false">IF(AND($P42="高",OR($AD42=1,$X42=1)),1,0)</f>
        <v>0</v>
      </c>
      <c r="AH42" s="104" t="n">
        <f aca="false">IF(AND($P42="高",$AG42=0,OR($F42&lt;&gt;"原始數據",$T42&lt;&gt;1)),1,0)</f>
        <v>0</v>
      </c>
      <c r="AI42" s="53" t="str">
        <f aca="false">IF(AND($P42="高",ISNUMBER($AF42)),INDEX(IDX_SrcDate,$AF42),"—")</f>
        <v>—</v>
      </c>
      <c r="AJ42" s="104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6" t="s">
        <v>3273</v>
      </c>
      <c r="B43" s="215" t="s">
        <v>3183</v>
      </c>
      <c r="C43" s="36" t="s">
        <v>3184</v>
      </c>
      <c r="D43" s="36" t="s">
        <v>3274</v>
      </c>
      <c r="E43" s="6" t="s">
        <v>122</v>
      </c>
      <c r="F43" s="36" t="s">
        <v>80</v>
      </c>
      <c r="G43" s="215" t="s">
        <v>1116</v>
      </c>
      <c r="H43" s="36" t="s">
        <v>587</v>
      </c>
      <c r="I43" s="6" t="s">
        <v>587</v>
      </c>
      <c r="J43" s="36" t="s">
        <v>587</v>
      </c>
      <c r="K43" s="215"/>
      <c r="L43" s="215"/>
      <c r="M43" s="36" t="s">
        <v>587</v>
      </c>
      <c r="N43" s="216" t="str">
        <f aca="false">Inputs!$H$28</f>
        <v>與擁有者無關的單一假設；下游公司模型以自身 WACC 覆寫（Andy 2026-09-30 決定）</v>
      </c>
      <c r="O43" s="6" t="s">
        <v>587</v>
      </c>
      <c r="P43" s="215" t="s">
        <v>3244</v>
      </c>
      <c r="Q43" s="179" t="n">
        <f aca="false">Inputs!F28</f>
        <v>0.13</v>
      </c>
      <c r="R43" s="36" t="s">
        <v>587</v>
      </c>
      <c r="S43" s="35" t="str">
        <f aca="false">IF(ISNUMBER($AF43),INDEX(IDX_SrcStat,$AF43),"—")</f>
        <v>—</v>
      </c>
      <c r="T43" s="35" t="str">
        <f aca="false">IF(ISNUMBER($AF43),INDEX(IDX_SrcGrade,$AF43),"—")</f>
        <v>—</v>
      </c>
      <c r="U43" s="35" t="s">
        <v>3189</v>
      </c>
      <c r="V43" s="186" t="n">
        <f aca="false">IF(AND($F43="原始數據",$U43&lt;&gt;"連結 SRC"),1,0)</f>
        <v>0</v>
      </c>
      <c r="W43" s="186" t="n">
        <f aca="false">IF(AND($F43="Analogy",OR($H43="—",$H43="")),1,0)</f>
        <v>0</v>
      </c>
      <c r="X43" s="186" t="n">
        <f aca="false">IF(AND(OR($F43="Analogy",$F43="Assumed"),$G43&lt;&gt;"低",$G43&lt;&gt;"高",NOT(ISNUMBER($K43)),NOT(ISNUMBER($L43)),OR($M43="—",$M43="")),1,0)</f>
        <v>0</v>
      </c>
      <c r="Y43" s="186" t="n">
        <f aca="false">IF(AND(OR($F43="Analogy",$F43="Assumed",$F43="Derived（待改公式）",$F43="Derived（公式）"),OR($N43="—",$N43="",$N43=0)),1,0)</f>
        <v>0</v>
      </c>
      <c r="Z43" s="186" t="n">
        <f aca="false">IF(AND($F43="Decision",OR($J43="—",$J43="")),1,0)</f>
        <v>0</v>
      </c>
      <c r="AA43" s="183" t="n">
        <f aca="false">IF(OR($J43="—",$J43=""),0,IF(COUNTIF(Decisions!$A$5:$A$300,$J43)=0,1,0))</f>
        <v>0</v>
      </c>
      <c r="AB43" s="186" t="n">
        <f aca="false">IF(AND($F43="原始數據",$S43&lt;&gt;"Active"),1,0)</f>
        <v>0</v>
      </c>
      <c r="AC43" s="186" t="n">
        <f aca="false">IF(AND(ISNUMBER($K43),ISNUMBER($L43),ISNUMBER($Q43)),IF(OR($Q43&lt;MIN($K43,$L43),$Q43&gt;MAX($K43,$L43)),1,0),0)</f>
        <v>0</v>
      </c>
      <c r="AD43" s="186" t="n">
        <f aca="false">IF(AND(ISNUMBER($T43),$P43="高"),IF($T43=3,1,0),0)</f>
        <v>0</v>
      </c>
      <c r="AE43" s="186" t="n">
        <f aca="false">IF($S43="不存在",1,0)</f>
        <v>0</v>
      </c>
      <c r="AF43" s="35" t="str">
        <f aca="false">IF(OR($H43="—",$H43=""),"—",MATCH($H43,IDX_SrcID,0))</f>
        <v>—</v>
      </c>
      <c r="AG43" s="104" t="n">
        <f aca="false">IF(AND($P43="高",OR($AD43=1,$X43=1)),1,0)</f>
        <v>0</v>
      </c>
      <c r="AH43" s="104" t="n">
        <f aca="false">IF(AND($P43="高",$AG43=0,OR($F43&lt;&gt;"原始數據",$T43&lt;&gt;1)),1,0)</f>
        <v>0</v>
      </c>
      <c r="AI43" s="53" t="str">
        <f aca="false">IF(AND($P43="高",ISNUMBER($AF43)),INDEX(IDX_SrcDate,$AF43),"—")</f>
        <v>—</v>
      </c>
      <c r="AJ43" s="104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6" t="s">
        <v>3275</v>
      </c>
      <c r="B44" s="215" t="s">
        <v>3183</v>
      </c>
      <c r="C44" s="36" t="s">
        <v>3184</v>
      </c>
      <c r="D44" s="36" t="s">
        <v>3276</v>
      </c>
      <c r="E44" s="6" t="s">
        <v>125</v>
      </c>
      <c r="F44" s="36" t="s">
        <v>80</v>
      </c>
      <c r="G44" s="215" t="s">
        <v>65</v>
      </c>
      <c r="H44" s="36" t="s">
        <v>587</v>
      </c>
      <c r="I44" s="6" t="s">
        <v>587</v>
      </c>
      <c r="J44" s="36" t="s">
        <v>587</v>
      </c>
      <c r="K44" s="179" t="n">
        <f aca="false">Inputs!$D$30</f>
        <v>0.02</v>
      </c>
      <c r="L44" s="179" t="n">
        <f aca="false">Inputs!$F$30</f>
        <v>0.04</v>
      </c>
      <c r="M44" s="36" t="s">
        <v>587</v>
      </c>
      <c r="N44" s="6" t="s">
        <v>3277</v>
      </c>
      <c r="O44" s="6" t="s">
        <v>3278</v>
      </c>
      <c r="P44" s="215" t="s">
        <v>1115</v>
      </c>
      <c r="Q44" s="179" t="n">
        <f aca="false">Inputs!E30</f>
        <v>0.03</v>
      </c>
      <c r="R44" s="36" t="s">
        <v>587</v>
      </c>
      <c r="S44" s="35" t="str">
        <f aca="false">IF(ISNUMBER($AF44),INDEX(IDX_SrcStat,$AF44),"—")</f>
        <v>—</v>
      </c>
      <c r="T44" s="35" t="str">
        <f aca="false">IF(ISNUMBER($AF44),INDEX(IDX_SrcGrade,$AF44),"—")</f>
        <v>—</v>
      </c>
      <c r="U44" s="35" t="s">
        <v>3189</v>
      </c>
      <c r="V44" s="186" t="n">
        <f aca="false">IF(AND($F44="原始數據",$U44&lt;&gt;"連結 SRC"),1,0)</f>
        <v>0</v>
      </c>
      <c r="W44" s="186" t="n">
        <f aca="false">IF(AND($F44="Analogy",OR($H44="—",$H44="")),1,0)</f>
        <v>0</v>
      </c>
      <c r="X44" s="186" t="n">
        <f aca="false">IF(AND(OR($F44="Analogy",$F44="Assumed"),$G44&lt;&gt;"低",$G44&lt;&gt;"高",NOT(ISNUMBER($K44)),NOT(ISNUMBER($L44)),OR($M44="—",$M44="")),1,0)</f>
        <v>0</v>
      </c>
      <c r="Y44" s="186" t="n">
        <f aca="false">IF(AND(OR($F44="Analogy",$F44="Assumed",$F44="Derived（待改公式）",$F44="Derived（公式）"),OR($N44="—",$N44="",$N44=0)),1,0)</f>
        <v>0</v>
      </c>
      <c r="Z44" s="186" t="n">
        <f aca="false">IF(AND($F44="Decision",OR($J44="—",$J44="")),1,0)</f>
        <v>0</v>
      </c>
      <c r="AA44" s="183" t="n">
        <f aca="false">IF(OR($J44="—",$J44=""),0,IF(COUNTIF(Decisions!$A$5:$A$300,$J44)=0,1,0))</f>
        <v>0</v>
      </c>
      <c r="AB44" s="186" t="n">
        <f aca="false">IF(AND($F44="原始數據",$S44&lt;&gt;"Active"),1,0)</f>
        <v>0</v>
      </c>
      <c r="AC44" s="186" t="n">
        <f aca="false">IF(AND(ISNUMBER($K44),ISNUMBER($L44),ISNUMBER($Q44)),IF(OR($Q44&lt;MIN($K44,$L44),$Q44&gt;MAX($K44,$L44)),1,0),0)</f>
        <v>0</v>
      </c>
      <c r="AD44" s="186" t="n">
        <f aca="false">IF(AND(ISNUMBER($T44),$P44="高"),IF($T44=3,1,0),0)</f>
        <v>0</v>
      </c>
      <c r="AE44" s="186" t="n">
        <f aca="false">IF($S44="不存在",1,0)</f>
        <v>0</v>
      </c>
      <c r="AF44" s="35" t="str">
        <f aca="false">IF(OR($H44="—",$H44=""),"—",MATCH($H44,IDX_SrcID,0))</f>
        <v>—</v>
      </c>
      <c r="AG44" s="104" t="n">
        <f aca="false">IF(AND($P44="高",OR($AD44=1,$X44=1)),1,0)</f>
        <v>0</v>
      </c>
      <c r="AH44" s="104" t="n">
        <f aca="false">IF(AND($P44="高",$AG44=0,OR($F44&lt;&gt;"原始數據",$T44&lt;&gt;1)),1,0)</f>
        <v>0</v>
      </c>
      <c r="AI44" s="53" t="str">
        <f aca="false">IF(AND($P44="高",ISNUMBER($AF44)),INDEX(IDX_SrcDate,$AF44),"—")</f>
        <v>—</v>
      </c>
      <c r="AJ44" s="104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6" t="s">
        <v>3279</v>
      </c>
      <c r="B45" s="215" t="s">
        <v>3183</v>
      </c>
      <c r="C45" s="36" t="s">
        <v>3184</v>
      </c>
      <c r="D45" s="36" t="s">
        <v>3280</v>
      </c>
      <c r="E45" s="6" t="s">
        <v>125</v>
      </c>
      <c r="F45" s="36" t="s">
        <v>80</v>
      </c>
      <c r="G45" s="215" t="s">
        <v>1115</v>
      </c>
      <c r="H45" s="36" t="s">
        <v>587</v>
      </c>
      <c r="I45" s="6" t="s">
        <v>587</v>
      </c>
      <c r="J45" s="36" t="s">
        <v>587</v>
      </c>
      <c r="K45" s="215"/>
      <c r="L45" s="215"/>
      <c r="M45" s="36" t="s">
        <v>587</v>
      </c>
      <c r="N45" s="6" t="s">
        <v>3277</v>
      </c>
      <c r="O45" s="6" t="s">
        <v>3278</v>
      </c>
      <c r="P45" s="215" t="s">
        <v>1115</v>
      </c>
      <c r="Q45" s="179" t="n">
        <f aca="false">Inputs!D30</f>
        <v>0.02</v>
      </c>
      <c r="R45" s="36" t="s">
        <v>587</v>
      </c>
      <c r="S45" s="35" t="str">
        <f aca="false">IF(ISNUMBER($AF45),INDEX(IDX_SrcStat,$AF45),"—")</f>
        <v>—</v>
      </c>
      <c r="T45" s="35" t="str">
        <f aca="false">IF(ISNUMBER($AF45),INDEX(IDX_SrcGrade,$AF45),"—")</f>
        <v>—</v>
      </c>
      <c r="U45" s="35" t="s">
        <v>3189</v>
      </c>
      <c r="V45" s="186" t="n">
        <f aca="false">IF(AND($F45="原始數據",$U45&lt;&gt;"連結 SRC"),1,0)</f>
        <v>0</v>
      </c>
      <c r="W45" s="186" t="n">
        <f aca="false">IF(AND($F45="Analogy",OR($H45="—",$H45="")),1,0)</f>
        <v>0</v>
      </c>
      <c r="X45" s="186" t="n">
        <f aca="false">IF(AND(OR($F45="Analogy",$F45="Assumed"),$G45&lt;&gt;"低",$G45&lt;&gt;"高",NOT(ISNUMBER($K45)),NOT(ISNUMBER($L45)),OR($M45="—",$M45="")),1,0)</f>
        <v>0</v>
      </c>
      <c r="Y45" s="186" t="n">
        <f aca="false">IF(AND(OR($F45="Analogy",$F45="Assumed",$F45="Derived（待改公式）",$F45="Derived（公式）"),OR($N45="—",$N45="",$N45=0)),1,0)</f>
        <v>0</v>
      </c>
      <c r="Z45" s="186" t="n">
        <f aca="false">IF(AND($F45="Decision",OR($J45="—",$J45="")),1,0)</f>
        <v>0</v>
      </c>
      <c r="AA45" s="183" t="n">
        <f aca="false">IF(OR($J45="—",$J45=""),0,IF(COUNTIF(Decisions!$A$5:$A$300,$J45)=0,1,0))</f>
        <v>0</v>
      </c>
      <c r="AB45" s="186" t="n">
        <f aca="false">IF(AND($F45="原始數據",$S45&lt;&gt;"Active"),1,0)</f>
        <v>0</v>
      </c>
      <c r="AC45" s="186" t="n">
        <f aca="false">IF(AND(ISNUMBER($K45),ISNUMBER($L45),ISNUMBER($Q45)),IF(OR($Q45&lt;MIN($K45,$L45),$Q45&gt;MAX($K45,$L45)),1,0),0)</f>
        <v>0</v>
      </c>
      <c r="AD45" s="186" t="n">
        <f aca="false">IF(AND(ISNUMBER($T45),$P45="高"),IF($T45=3,1,0),0)</f>
        <v>0</v>
      </c>
      <c r="AE45" s="186" t="n">
        <f aca="false">IF($S45="不存在",1,0)</f>
        <v>0</v>
      </c>
      <c r="AF45" s="35" t="str">
        <f aca="false">IF(OR($H45="—",$H45=""),"—",MATCH($H45,IDX_SrcID,0))</f>
        <v>—</v>
      </c>
      <c r="AG45" s="104" t="n">
        <f aca="false">IF(AND($P45="高",OR($AD45=1,$X45=1)),1,0)</f>
        <v>0</v>
      </c>
      <c r="AH45" s="104" t="n">
        <f aca="false">IF(AND($P45="高",$AG45=0,OR($F45&lt;&gt;"原始數據",$T45&lt;&gt;1)),1,0)</f>
        <v>0</v>
      </c>
      <c r="AI45" s="53" t="str">
        <f aca="false">IF(AND($P45="高",ISNUMBER($AF45)),INDEX(IDX_SrcDate,$AF45),"—")</f>
        <v>—</v>
      </c>
      <c r="AJ45" s="104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6" t="s">
        <v>3281</v>
      </c>
      <c r="B46" s="215" t="s">
        <v>3183</v>
      </c>
      <c r="C46" s="36" t="s">
        <v>3184</v>
      </c>
      <c r="D46" s="36" t="s">
        <v>3282</v>
      </c>
      <c r="E46" s="6" t="s">
        <v>125</v>
      </c>
      <c r="F46" s="36" t="s">
        <v>80</v>
      </c>
      <c r="G46" s="215" t="s">
        <v>1116</v>
      </c>
      <c r="H46" s="36" t="s">
        <v>587</v>
      </c>
      <c r="I46" s="6" t="s">
        <v>587</v>
      </c>
      <c r="J46" s="36" t="s">
        <v>587</v>
      </c>
      <c r="K46" s="215"/>
      <c r="L46" s="215"/>
      <c r="M46" s="36" t="s">
        <v>587</v>
      </c>
      <c r="N46" s="6" t="s">
        <v>3277</v>
      </c>
      <c r="O46" s="6" t="s">
        <v>3278</v>
      </c>
      <c r="P46" s="215" t="s">
        <v>1115</v>
      </c>
      <c r="Q46" s="179" t="n">
        <f aca="false">Inputs!F30</f>
        <v>0.04</v>
      </c>
      <c r="R46" s="36" t="s">
        <v>587</v>
      </c>
      <c r="S46" s="35" t="str">
        <f aca="false">IF(ISNUMBER($AF46),INDEX(IDX_SrcStat,$AF46),"—")</f>
        <v>—</v>
      </c>
      <c r="T46" s="35" t="str">
        <f aca="false">IF(ISNUMBER($AF46),INDEX(IDX_SrcGrade,$AF46),"—")</f>
        <v>—</v>
      </c>
      <c r="U46" s="35" t="s">
        <v>3189</v>
      </c>
      <c r="V46" s="186" t="n">
        <f aca="false">IF(AND($F46="原始數據",$U46&lt;&gt;"連結 SRC"),1,0)</f>
        <v>0</v>
      </c>
      <c r="W46" s="186" t="n">
        <f aca="false">IF(AND($F46="Analogy",OR($H46="—",$H46="")),1,0)</f>
        <v>0</v>
      </c>
      <c r="X46" s="186" t="n">
        <f aca="false">IF(AND(OR($F46="Analogy",$F46="Assumed"),$G46&lt;&gt;"低",$G46&lt;&gt;"高",NOT(ISNUMBER($K46)),NOT(ISNUMBER($L46)),OR($M46="—",$M46="")),1,0)</f>
        <v>0</v>
      </c>
      <c r="Y46" s="186" t="n">
        <f aca="false">IF(AND(OR($F46="Analogy",$F46="Assumed",$F46="Derived（待改公式）",$F46="Derived（公式）"),OR($N46="—",$N46="",$N46=0)),1,0)</f>
        <v>0</v>
      </c>
      <c r="Z46" s="186" t="n">
        <f aca="false">IF(AND($F46="Decision",OR($J46="—",$J46="")),1,0)</f>
        <v>0</v>
      </c>
      <c r="AA46" s="183" t="n">
        <f aca="false">IF(OR($J46="—",$J46=""),0,IF(COUNTIF(Decisions!$A$5:$A$300,$J46)=0,1,0))</f>
        <v>0</v>
      </c>
      <c r="AB46" s="186" t="n">
        <f aca="false">IF(AND($F46="原始數據",$S46&lt;&gt;"Active"),1,0)</f>
        <v>0</v>
      </c>
      <c r="AC46" s="186" t="n">
        <f aca="false">IF(AND(ISNUMBER($K46),ISNUMBER($L46),ISNUMBER($Q46)),IF(OR($Q46&lt;MIN($K46,$L46),$Q46&gt;MAX($K46,$L46)),1,0),0)</f>
        <v>0</v>
      </c>
      <c r="AD46" s="186" t="n">
        <f aca="false">IF(AND(ISNUMBER($T46),$P46="高"),IF($T46=3,1,0),0)</f>
        <v>0</v>
      </c>
      <c r="AE46" s="186" t="n">
        <f aca="false">IF($S46="不存在",1,0)</f>
        <v>0</v>
      </c>
      <c r="AF46" s="35" t="str">
        <f aca="false">IF(OR($H46="—",$H46=""),"—",MATCH($H46,IDX_SrcID,0))</f>
        <v>—</v>
      </c>
      <c r="AG46" s="104" t="n">
        <f aca="false">IF(AND($P46="高",OR($AD46=1,$X46=1)),1,0)</f>
        <v>0</v>
      </c>
      <c r="AH46" s="104" t="n">
        <f aca="false">IF(AND($P46="高",$AG46=0,OR($F46&lt;&gt;"原始數據",$T46&lt;&gt;1)),1,0)</f>
        <v>0</v>
      </c>
      <c r="AI46" s="53" t="str">
        <f aca="false">IF(AND($P46="高",ISNUMBER($AF46)),INDEX(IDX_SrcDate,$AF46),"—")</f>
        <v>—</v>
      </c>
      <c r="AJ46" s="104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6" t="s">
        <v>3283</v>
      </c>
      <c r="B47" s="215" t="s">
        <v>3183</v>
      </c>
      <c r="C47" s="36" t="s">
        <v>3184</v>
      </c>
      <c r="D47" s="36" t="s">
        <v>3284</v>
      </c>
      <c r="E47" s="19" t="s">
        <v>128</v>
      </c>
      <c r="F47" s="36" t="s">
        <v>80</v>
      </c>
      <c r="G47" s="215" t="s">
        <v>65</v>
      </c>
      <c r="H47" s="36" t="s">
        <v>587</v>
      </c>
      <c r="I47" s="6" t="s">
        <v>587</v>
      </c>
      <c r="J47" s="36" t="s">
        <v>587</v>
      </c>
      <c r="K47" s="179" t="n">
        <f aca="false">Inputs!$D$31</f>
        <v>0.015</v>
      </c>
      <c r="L47" s="179" t="n">
        <f aca="false">Inputs!$F$31</f>
        <v>0.025</v>
      </c>
      <c r="M47" s="36" t="s">
        <v>587</v>
      </c>
      <c r="N47" s="6" t="s">
        <v>130</v>
      </c>
      <c r="O47" s="6" t="s">
        <v>3285</v>
      </c>
      <c r="P47" s="215" t="s">
        <v>1115</v>
      </c>
      <c r="Q47" s="179" t="n">
        <f aca="false">Inputs!E31</f>
        <v>0.02</v>
      </c>
      <c r="R47" s="36" t="s">
        <v>587</v>
      </c>
      <c r="S47" s="35" t="str">
        <f aca="false">IF(ISNUMBER($AF47),INDEX(IDX_SrcStat,$AF47),"—")</f>
        <v>—</v>
      </c>
      <c r="T47" s="35" t="str">
        <f aca="false">IF(ISNUMBER($AF47),INDEX(IDX_SrcGrade,$AF47),"—")</f>
        <v>—</v>
      </c>
      <c r="U47" s="35" t="s">
        <v>3189</v>
      </c>
      <c r="V47" s="186" t="n">
        <f aca="false">IF(AND($F47="原始數據",$U47&lt;&gt;"連結 SRC"),1,0)</f>
        <v>0</v>
      </c>
      <c r="W47" s="186" t="n">
        <f aca="false">IF(AND($F47="Analogy",OR($H47="—",$H47="")),1,0)</f>
        <v>0</v>
      </c>
      <c r="X47" s="186" t="n">
        <f aca="false">IF(AND(OR($F47="Analogy",$F47="Assumed"),$G47&lt;&gt;"低",$G47&lt;&gt;"高",NOT(ISNUMBER($K47)),NOT(ISNUMBER($L47)),OR($M47="—",$M47="")),1,0)</f>
        <v>0</v>
      </c>
      <c r="Y47" s="186" t="n">
        <f aca="false">IF(AND(OR($F47="Analogy",$F47="Assumed",$F47="Derived（待改公式）",$F47="Derived（公式）"),OR($N47="—",$N47="",$N47=0)),1,0)</f>
        <v>0</v>
      </c>
      <c r="Z47" s="186" t="n">
        <f aca="false">IF(AND($F47="Decision",OR($J47="—",$J47="")),1,0)</f>
        <v>0</v>
      </c>
      <c r="AA47" s="183" t="n">
        <f aca="false">IF(OR($J47="—",$J47=""),0,IF(COUNTIF(Decisions!$A$5:$A$300,$J47)=0,1,0))</f>
        <v>0</v>
      </c>
      <c r="AB47" s="186" t="n">
        <f aca="false">IF(AND($F47="原始數據",$S47&lt;&gt;"Active"),1,0)</f>
        <v>0</v>
      </c>
      <c r="AC47" s="186" t="n">
        <f aca="false">IF(AND(ISNUMBER($K47),ISNUMBER($L47),ISNUMBER($Q47)),IF(OR($Q47&lt;MIN($K47,$L47),$Q47&gt;MAX($K47,$L47)),1,0),0)</f>
        <v>0</v>
      </c>
      <c r="AD47" s="186" t="n">
        <f aca="false">IF(AND(ISNUMBER($T47),$P47="高"),IF($T47=3,1,0),0)</f>
        <v>0</v>
      </c>
      <c r="AE47" s="186" t="n">
        <f aca="false">IF($S47="不存在",1,0)</f>
        <v>0</v>
      </c>
      <c r="AF47" s="35" t="str">
        <f aca="false">IF(OR($H47="—",$H47=""),"—",MATCH($H47,IDX_SrcID,0))</f>
        <v>—</v>
      </c>
      <c r="AG47" s="104" t="n">
        <f aca="false">IF(AND($P47="高",OR($AD47=1,$X47=1)),1,0)</f>
        <v>0</v>
      </c>
      <c r="AH47" s="104" t="n">
        <f aca="false">IF(AND($P47="高",$AG47=0,OR($F47&lt;&gt;"原始數據",$T47&lt;&gt;1)),1,0)</f>
        <v>0</v>
      </c>
      <c r="AI47" s="53" t="str">
        <f aca="false">IF(AND($P47="高",ISNUMBER($AF47)),INDEX(IDX_SrcDate,$AF47),"—")</f>
        <v>—</v>
      </c>
      <c r="AJ47" s="104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6" t="s">
        <v>3286</v>
      </c>
      <c r="B48" s="215" t="s">
        <v>3183</v>
      </c>
      <c r="C48" s="36" t="s">
        <v>3184</v>
      </c>
      <c r="D48" s="36" t="s">
        <v>3287</v>
      </c>
      <c r="E48" s="19" t="s">
        <v>128</v>
      </c>
      <c r="F48" s="36" t="s">
        <v>80</v>
      </c>
      <c r="G48" s="215" t="s">
        <v>1115</v>
      </c>
      <c r="H48" s="36" t="s">
        <v>587</v>
      </c>
      <c r="I48" s="6" t="s">
        <v>587</v>
      </c>
      <c r="J48" s="36" t="s">
        <v>587</v>
      </c>
      <c r="K48" s="215"/>
      <c r="L48" s="215"/>
      <c r="M48" s="36" t="s">
        <v>587</v>
      </c>
      <c r="N48" s="6" t="s">
        <v>130</v>
      </c>
      <c r="O48" s="6" t="s">
        <v>3285</v>
      </c>
      <c r="P48" s="215" t="s">
        <v>1115</v>
      </c>
      <c r="Q48" s="179" t="n">
        <f aca="false">Inputs!D31</f>
        <v>0.015</v>
      </c>
      <c r="R48" s="36" t="s">
        <v>587</v>
      </c>
      <c r="S48" s="35" t="str">
        <f aca="false">IF(ISNUMBER($AF48),INDEX(IDX_SrcStat,$AF48),"—")</f>
        <v>—</v>
      </c>
      <c r="T48" s="35" t="str">
        <f aca="false">IF(ISNUMBER($AF48),INDEX(IDX_SrcGrade,$AF48),"—")</f>
        <v>—</v>
      </c>
      <c r="U48" s="35" t="s">
        <v>3189</v>
      </c>
      <c r="V48" s="186" t="n">
        <f aca="false">IF(AND($F48="原始數據",$U48&lt;&gt;"連結 SRC"),1,0)</f>
        <v>0</v>
      </c>
      <c r="W48" s="186" t="n">
        <f aca="false">IF(AND($F48="Analogy",OR($H48="—",$H48="")),1,0)</f>
        <v>0</v>
      </c>
      <c r="X48" s="186" t="n">
        <f aca="false">IF(AND(OR($F48="Analogy",$F48="Assumed"),$G48&lt;&gt;"低",$G48&lt;&gt;"高",NOT(ISNUMBER($K48)),NOT(ISNUMBER($L48)),OR($M48="—",$M48="")),1,0)</f>
        <v>0</v>
      </c>
      <c r="Y48" s="186" t="n">
        <f aca="false">IF(AND(OR($F48="Analogy",$F48="Assumed",$F48="Derived（待改公式）",$F48="Derived（公式）"),OR($N48="—",$N48="",$N48=0)),1,0)</f>
        <v>0</v>
      </c>
      <c r="Z48" s="186" t="n">
        <f aca="false">IF(AND($F48="Decision",OR($J48="—",$J48="")),1,0)</f>
        <v>0</v>
      </c>
      <c r="AA48" s="183" t="n">
        <f aca="false">IF(OR($J48="—",$J48=""),0,IF(COUNTIF(Decisions!$A$5:$A$300,$J48)=0,1,0))</f>
        <v>0</v>
      </c>
      <c r="AB48" s="186" t="n">
        <f aca="false">IF(AND($F48="原始數據",$S48&lt;&gt;"Active"),1,0)</f>
        <v>0</v>
      </c>
      <c r="AC48" s="186" t="n">
        <f aca="false">IF(AND(ISNUMBER($K48),ISNUMBER($L48),ISNUMBER($Q48)),IF(OR($Q48&lt;MIN($K48,$L48),$Q48&gt;MAX($K48,$L48)),1,0),0)</f>
        <v>0</v>
      </c>
      <c r="AD48" s="186" t="n">
        <f aca="false">IF(AND(ISNUMBER($T48),$P48="高"),IF($T48=3,1,0),0)</f>
        <v>0</v>
      </c>
      <c r="AE48" s="186" t="n">
        <f aca="false">IF($S48="不存在",1,0)</f>
        <v>0</v>
      </c>
      <c r="AF48" s="35" t="str">
        <f aca="false">IF(OR($H48="—",$H48=""),"—",MATCH($H48,IDX_SrcID,0))</f>
        <v>—</v>
      </c>
      <c r="AG48" s="104" t="n">
        <f aca="false">IF(AND($P48="高",OR($AD48=1,$X48=1)),1,0)</f>
        <v>0</v>
      </c>
      <c r="AH48" s="104" t="n">
        <f aca="false">IF(AND($P48="高",$AG48=0,OR($F48&lt;&gt;"原始數據",$T48&lt;&gt;1)),1,0)</f>
        <v>0</v>
      </c>
      <c r="AI48" s="53" t="str">
        <f aca="false">IF(AND($P48="高",ISNUMBER($AF48)),INDEX(IDX_SrcDate,$AF48),"—")</f>
        <v>—</v>
      </c>
      <c r="AJ48" s="104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6" t="s">
        <v>3288</v>
      </c>
      <c r="B49" s="215" t="s">
        <v>3183</v>
      </c>
      <c r="C49" s="36" t="s">
        <v>3184</v>
      </c>
      <c r="D49" s="36" t="s">
        <v>3289</v>
      </c>
      <c r="E49" s="19" t="s">
        <v>128</v>
      </c>
      <c r="F49" s="36" t="s">
        <v>80</v>
      </c>
      <c r="G49" s="215" t="s">
        <v>1116</v>
      </c>
      <c r="H49" s="36" t="s">
        <v>587</v>
      </c>
      <c r="I49" s="6" t="s">
        <v>587</v>
      </c>
      <c r="J49" s="36" t="s">
        <v>587</v>
      </c>
      <c r="K49" s="215"/>
      <c r="L49" s="215"/>
      <c r="M49" s="36" t="s">
        <v>587</v>
      </c>
      <c r="N49" s="6" t="s">
        <v>130</v>
      </c>
      <c r="O49" s="6" t="s">
        <v>3285</v>
      </c>
      <c r="P49" s="215" t="s">
        <v>1115</v>
      </c>
      <c r="Q49" s="179" t="n">
        <f aca="false">Inputs!F31</f>
        <v>0.025</v>
      </c>
      <c r="R49" s="36" t="s">
        <v>587</v>
      </c>
      <c r="S49" s="35" t="str">
        <f aca="false">IF(ISNUMBER($AF49),INDEX(IDX_SrcStat,$AF49),"—")</f>
        <v>—</v>
      </c>
      <c r="T49" s="35" t="str">
        <f aca="false">IF(ISNUMBER($AF49),INDEX(IDX_SrcGrade,$AF49),"—")</f>
        <v>—</v>
      </c>
      <c r="U49" s="35" t="s">
        <v>3189</v>
      </c>
      <c r="V49" s="186" t="n">
        <f aca="false">IF(AND($F49="原始數據",$U49&lt;&gt;"連結 SRC"),1,0)</f>
        <v>0</v>
      </c>
      <c r="W49" s="186" t="n">
        <f aca="false">IF(AND($F49="Analogy",OR($H49="—",$H49="")),1,0)</f>
        <v>0</v>
      </c>
      <c r="X49" s="186" t="n">
        <f aca="false">IF(AND(OR($F49="Analogy",$F49="Assumed"),$G49&lt;&gt;"低",$G49&lt;&gt;"高",NOT(ISNUMBER($K49)),NOT(ISNUMBER($L49)),OR($M49="—",$M49="")),1,0)</f>
        <v>0</v>
      </c>
      <c r="Y49" s="186" t="n">
        <f aca="false">IF(AND(OR($F49="Analogy",$F49="Assumed",$F49="Derived（待改公式）",$F49="Derived（公式）"),OR($N49="—",$N49="",$N49=0)),1,0)</f>
        <v>0</v>
      </c>
      <c r="Z49" s="186" t="n">
        <f aca="false">IF(AND($F49="Decision",OR($J49="—",$J49="")),1,0)</f>
        <v>0</v>
      </c>
      <c r="AA49" s="183" t="n">
        <f aca="false">IF(OR($J49="—",$J49=""),0,IF(COUNTIF(Decisions!$A$5:$A$300,$J49)=0,1,0))</f>
        <v>0</v>
      </c>
      <c r="AB49" s="186" t="n">
        <f aca="false">IF(AND($F49="原始數據",$S49&lt;&gt;"Active"),1,0)</f>
        <v>0</v>
      </c>
      <c r="AC49" s="186" t="n">
        <f aca="false">IF(AND(ISNUMBER($K49),ISNUMBER($L49),ISNUMBER($Q49)),IF(OR($Q49&lt;MIN($K49,$L49),$Q49&gt;MAX($K49,$L49)),1,0),0)</f>
        <v>0</v>
      </c>
      <c r="AD49" s="186" t="n">
        <f aca="false">IF(AND(ISNUMBER($T49),$P49="高"),IF($T49=3,1,0),0)</f>
        <v>0</v>
      </c>
      <c r="AE49" s="186" t="n">
        <f aca="false">IF($S49="不存在",1,0)</f>
        <v>0</v>
      </c>
      <c r="AF49" s="35" t="str">
        <f aca="false">IF(OR($H49="—",$H49=""),"—",MATCH($H49,IDX_SrcID,0))</f>
        <v>—</v>
      </c>
      <c r="AG49" s="104" t="n">
        <f aca="false">IF(AND($P49="高",OR($AD49=1,$X49=1)),1,0)</f>
        <v>0</v>
      </c>
      <c r="AH49" s="104" t="n">
        <f aca="false">IF(AND($P49="高",$AG49=0,OR($F49&lt;&gt;"原始數據",$T49&lt;&gt;1)),1,0)</f>
        <v>0</v>
      </c>
      <c r="AI49" s="53" t="str">
        <f aca="false">IF(AND($P49="高",ISNUMBER($AF49)),INDEX(IDX_SrcDate,$AF49),"—")</f>
        <v>—</v>
      </c>
      <c r="AJ49" s="104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6" t="s">
        <v>3290</v>
      </c>
      <c r="B50" s="215" t="s">
        <v>3183</v>
      </c>
      <c r="C50" s="36" t="s">
        <v>3184</v>
      </c>
      <c r="D50" s="36" t="s">
        <v>3291</v>
      </c>
      <c r="E50" s="19" t="s">
        <v>131</v>
      </c>
      <c r="F50" s="36" t="s">
        <v>80</v>
      </c>
      <c r="G50" s="215" t="s">
        <v>65</v>
      </c>
      <c r="H50" s="36" t="s">
        <v>587</v>
      </c>
      <c r="I50" s="6" t="s">
        <v>587</v>
      </c>
      <c r="J50" s="36" t="s">
        <v>587</v>
      </c>
      <c r="K50" s="41" t="n">
        <f aca="false">Inputs!$D$32</f>
        <v>50</v>
      </c>
      <c r="L50" s="41" t="n">
        <f aca="false">Inputs!$F$32</f>
        <v>100</v>
      </c>
      <c r="M50" s="36" t="s">
        <v>587</v>
      </c>
      <c r="N50" s="216" t="str">
        <f aca="false">Inputs!$H$32</f>
        <v>v4：500 FTE × $150K</v>
      </c>
      <c r="O50" s="6" t="s">
        <v>587</v>
      </c>
      <c r="P50" s="215" t="s">
        <v>1115</v>
      </c>
      <c r="Q50" s="41" t="n">
        <f aca="false">Inputs!E32</f>
        <v>75</v>
      </c>
      <c r="R50" s="36" t="s">
        <v>587</v>
      </c>
      <c r="S50" s="35" t="str">
        <f aca="false">IF(ISNUMBER($AF50),INDEX(IDX_SrcStat,$AF50),"—")</f>
        <v>—</v>
      </c>
      <c r="T50" s="35" t="str">
        <f aca="false">IF(ISNUMBER($AF50),INDEX(IDX_SrcGrade,$AF50),"—")</f>
        <v>—</v>
      </c>
      <c r="U50" s="35" t="s">
        <v>3189</v>
      </c>
      <c r="V50" s="186" t="n">
        <f aca="false">IF(AND($F50="原始數據",$U50&lt;&gt;"連結 SRC"),1,0)</f>
        <v>0</v>
      </c>
      <c r="W50" s="186" t="n">
        <f aca="false">IF(AND($F50="Analogy",OR($H50="—",$H50="")),1,0)</f>
        <v>0</v>
      </c>
      <c r="X50" s="186" t="n">
        <f aca="false">IF(AND(OR($F50="Analogy",$F50="Assumed"),$G50&lt;&gt;"低",$G50&lt;&gt;"高",NOT(ISNUMBER($K50)),NOT(ISNUMBER($L50)),OR($M50="—",$M50="")),1,0)</f>
        <v>0</v>
      </c>
      <c r="Y50" s="186" t="n">
        <f aca="false">IF(AND(OR($F50="Analogy",$F50="Assumed",$F50="Derived（待改公式）",$F50="Derived（公式）"),OR($N50="—",$N50="",$N50=0)),1,0)</f>
        <v>0</v>
      </c>
      <c r="Z50" s="186" t="n">
        <f aca="false">IF(AND($F50="Decision",OR($J50="—",$J50="")),1,0)</f>
        <v>0</v>
      </c>
      <c r="AA50" s="183" t="n">
        <f aca="false">IF(OR($J50="—",$J50=""),0,IF(COUNTIF(Decisions!$A$5:$A$300,$J50)=0,1,0))</f>
        <v>0</v>
      </c>
      <c r="AB50" s="186" t="n">
        <f aca="false">IF(AND($F50="原始數據",$S50&lt;&gt;"Active"),1,0)</f>
        <v>0</v>
      </c>
      <c r="AC50" s="186" t="n">
        <f aca="false">IF(AND(ISNUMBER($K50),ISNUMBER($L50),ISNUMBER($Q50)),IF(OR($Q50&lt;MIN($K50,$L50),$Q50&gt;MAX($K50,$L50)),1,0),0)</f>
        <v>0</v>
      </c>
      <c r="AD50" s="186" t="n">
        <f aca="false">IF(AND(ISNUMBER($T50),$P50="高"),IF($T50=3,1,0),0)</f>
        <v>0</v>
      </c>
      <c r="AE50" s="186" t="n">
        <f aca="false">IF($S50="不存在",1,0)</f>
        <v>0</v>
      </c>
      <c r="AF50" s="35" t="str">
        <f aca="false">IF(OR($H50="—",$H50=""),"—",MATCH($H50,IDX_SrcID,0))</f>
        <v>—</v>
      </c>
      <c r="AG50" s="104" t="n">
        <f aca="false">IF(AND($P50="高",OR($AD50=1,$X50=1)),1,0)</f>
        <v>0</v>
      </c>
      <c r="AH50" s="104" t="n">
        <f aca="false">IF(AND($P50="高",$AG50=0,OR($F50&lt;&gt;"原始數據",$T50&lt;&gt;1)),1,0)</f>
        <v>0</v>
      </c>
      <c r="AI50" s="53" t="str">
        <f aca="false">IF(AND($P50="高",ISNUMBER($AF50)),INDEX(IDX_SrcDate,$AF50),"—")</f>
        <v>—</v>
      </c>
      <c r="AJ50" s="104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6" t="s">
        <v>3292</v>
      </c>
      <c r="B51" s="215" t="s">
        <v>3183</v>
      </c>
      <c r="C51" s="36" t="s">
        <v>3184</v>
      </c>
      <c r="D51" s="36" t="s">
        <v>3293</v>
      </c>
      <c r="E51" s="19" t="s">
        <v>131</v>
      </c>
      <c r="F51" s="36" t="s">
        <v>80</v>
      </c>
      <c r="G51" s="215" t="s">
        <v>1115</v>
      </c>
      <c r="H51" s="36" t="s">
        <v>587</v>
      </c>
      <c r="I51" s="6" t="s">
        <v>587</v>
      </c>
      <c r="J51" s="36" t="s">
        <v>587</v>
      </c>
      <c r="K51" s="215"/>
      <c r="L51" s="215"/>
      <c r="M51" s="36" t="s">
        <v>587</v>
      </c>
      <c r="N51" s="216" t="str">
        <f aca="false">Inputs!$H$32</f>
        <v>v4：500 FTE × $150K</v>
      </c>
      <c r="O51" s="6" t="s">
        <v>587</v>
      </c>
      <c r="P51" s="215" t="s">
        <v>1115</v>
      </c>
      <c r="Q51" s="41" t="n">
        <f aca="false">Inputs!D32</f>
        <v>50</v>
      </c>
      <c r="R51" s="36" t="s">
        <v>587</v>
      </c>
      <c r="S51" s="35" t="str">
        <f aca="false">IF(ISNUMBER($AF51),INDEX(IDX_SrcStat,$AF51),"—")</f>
        <v>—</v>
      </c>
      <c r="T51" s="35" t="str">
        <f aca="false">IF(ISNUMBER($AF51),INDEX(IDX_SrcGrade,$AF51),"—")</f>
        <v>—</v>
      </c>
      <c r="U51" s="35" t="s">
        <v>3189</v>
      </c>
      <c r="V51" s="186" t="n">
        <f aca="false">IF(AND($F51="原始數據",$U51&lt;&gt;"連結 SRC"),1,0)</f>
        <v>0</v>
      </c>
      <c r="W51" s="186" t="n">
        <f aca="false">IF(AND($F51="Analogy",OR($H51="—",$H51="")),1,0)</f>
        <v>0</v>
      </c>
      <c r="X51" s="186" t="n">
        <f aca="false">IF(AND(OR($F51="Analogy",$F51="Assumed"),$G51&lt;&gt;"低",$G51&lt;&gt;"高",NOT(ISNUMBER($K51)),NOT(ISNUMBER($L51)),OR($M51="—",$M51="")),1,0)</f>
        <v>0</v>
      </c>
      <c r="Y51" s="186" t="n">
        <f aca="false">IF(AND(OR($F51="Analogy",$F51="Assumed",$F51="Derived（待改公式）",$F51="Derived（公式）"),OR($N51="—",$N51="",$N51=0)),1,0)</f>
        <v>0</v>
      </c>
      <c r="Z51" s="186" t="n">
        <f aca="false">IF(AND($F51="Decision",OR($J51="—",$J51="")),1,0)</f>
        <v>0</v>
      </c>
      <c r="AA51" s="183" t="n">
        <f aca="false">IF(OR($J51="—",$J51=""),0,IF(COUNTIF(Decisions!$A$5:$A$300,$J51)=0,1,0))</f>
        <v>0</v>
      </c>
      <c r="AB51" s="186" t="n">
        <f aca="false">IF(AND($F51="原始數據",$S51&lt;&gt;"Active"),1,0)</f>
        <v>0</v>
      </c>
      <c r="AC51" s="186" t="n">
        <f aca="false">IF(AND(ISNUMBER($K51),ISNUMBER($L51),ISNUMBER($Q51)),IF(OR($Q51&lt;MIN($K51,$L51),$Q51&gt;MAX($K51,$L51)),1,0),0)</f>
        <v>0</v>
      </c>
      <c r="AD51" s="186" t="n">
        <f aca="false">IF(AND(ISNUMBER($T51),$P51="高"),IF($T51=3,1,0),0)</f>
        <v>0</v>
      </c>
      <c r="AE51" s="186" t="n">
        <f aca="false">IF($S51="不存在",1,0)</f>
        <v>0</v>
      </c>
      <c r="AF51" s="35" t="str">
        <f aca="false">IF(OR($H51="—",$H51=""),"—",MATCH($H51,IDX_SrcID,0))</f>
        <v>—</v>
      </c>
      <c r="AG51" s="104" t="n">
        <f aca="false">IF(AND($P51="高",OR($AD51=1,$X51=1)),1,0)</f>
        <v>0</v>
      </c>
      <c r="AH51" s="104" t="n">
        <f aca="false">IF(AND($P51="高",$AG51=0,OR($F51&lt;&gt;"原始數據",$T51&lt;&gt;1)),1,0)</f>
        <v>0</v>
      </c>
      <c r="AI51" s="53" t="str">
        <f aca="false">IF(AND($P51="高",ISNUMBER($AF51)),INDEX(IDX_SrcDate,$AF51),"—")</f>
        <v>—</v>
      </c>
      <c r="AJ51" s="104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6" t="s">
        <v>3294</v>
      </c>
      <c r="B52" s="215" t="s">
        <v>3183</v>
      </c>
      <c r="C52" s="36" t="s">
        <v>3184</v>
      </c>
      <c r="D52" s="36" t="s">
        <v>3295</v>
      </c>
      <c r="E52" s="19" t="s">
        <v>131</v>
      </c>
      <c r="F52" s="36" t="s">
        <v>80</v>
      </c>
      <c r="G52" s="215" t="s">
        <v>1116</v>
      </c>
      <c r="H52" s="36" t="s">
        <v>587</v>
      </c>
      <c r="I52" s="6" t="s">
        <v>587</v>
      </c>
      <c r="J52" s="36" t="s">
        <v>587</v>
      </c>
      <c r="K52" s="215"/>
      <c r="L52" s="215"/>
      <c r="M52" s="36" t="s">
        <v>587</v>
      </c>
      <c r="N52" s="216" t="str">
        <f aca="false">Inputs!$H$32</f>
        <v>v4：500 FTE × $150K</v>
      </c>
      <c r="O52" s="6" t="s">
        <v>587</v>
      </c>
      <c r="P52" s="215" t="s">
        <v>1115</v>
      </c>
      <c r="Q52" s="41" t="n">
        <f aca="false">Inputs!F32</f>
        <v>100</v>
      </c>
      <c r="R52" s="36" t="s">
        <v>587</v>
      </c>
      <c r="S52" s="35" t="str">
        <f aca="false">IF(ISNUMBER($AF52),INDEX(IDX_SrcStat,$AF52),"—")</f>
        <v>—</v>
      </c>
      <c r="T52" s="35" t="str">
        <f aca="false">IF(ISNUMBER($AF52),INDEX(IDX_SrcGrade,$AF52),"—")</f>
        <v>—</v>
      </c>
      <c r="U52" s="35" t="s">
        <v>3189</v>
      </c>
      <c r="V52" s="186" t="n">
        <f aca="false">IF(AND($F52="原始數據",$U52&lt;&gt;"連結 SRC"),1,0)</f>
        <v>0</v>
      </c>
      <c r="W52" s="186" t="n">
        <f aca="false">IF(AND($F52="Analogy",OR($H52="—",$H52="")),1,0)</f>
        <v>0</v>
      </c>
      <c r="X52" s="186" t="n">
        <f aca="false">IF(AND(OR($F52="Analogy",$F52="Assumed"),$G52&lt;&gt;"低",$G52&lt;&gt;"高",NOT(ISNUMBER($K52)),NOT(ISNUMBER($L52)),OR($M52="—",$M52="")),1,0)</f>
        <v>0</v>
      </c>
      <c r="Y52" s="186" t="n">
        <f aca="false">IF(AND(OR($F52="Analogy",$F52="Assumed",$F52="Derived（待改公式）",$F52="Derived（公式）"),OR($N52="—",$N52="",$N52=0)),1,0)</f>
        <v>0</v>
      </c>
      <c r="Z52" s="186" t="n">
        <f aca="false">IF(AND($F52="Decision",OR($J52="—",$J52="")),1,0)</f>
        <v>0</v>
      </c>
      <c r="AA52" s="183" t="n">
        <f aca="false">IF(OR($J52="—",$J52=""),0,IF(COUNTIF(Decisions!$A$5:$A$300,$J52)=0,1,0))</f>
        <v>0</v>
      </c>
      <c r="AB52" s="186" t="n">
        <f aca="false">IF(AND($F52="原始數據",$S52&lt;&gt;"Active"),1,0)</f>
        <v>0</v>
      </c>
      <c r="AC52" s="186" t="n">
        <f aca="false">IF(AND(ISNUMBER($K52),ISNUMBER($L52),ISNUMBER($Q52)),IF(OR($Q52&lt;MIN($K52,$L52),$Q52&gt;MAX($K52,$L52)),1,0),0)</f>
        <v>0</v>
      </c>
      <c r="AD52" s="186" t="n">
        <f aca="false">IF(AND(ISNUMBER($T52),$P52="高"),IF($T52=3,1,0),0)</f>
        <v>0</v>
      </c>
      <c r="AE52" s="186" t="n">
        <f aca="false">IF($S52="不存在",1,0)</f>
        <v>0</v>
      </c>
      <c r="AF52" s="35" t="str">
        <f aca="false">IF(OR($H52="—",$H52=""),"—",MATCH($H52,IDX_SrcID,0))</f>
        <v>—</v>
      </c>
      <c r="AG52" s="104" t="n">
        <f aca="false">IF(AND($P52="高",OR($AD52=1,$X52=1)),1,0)</f>
        <v>0</v>
      </c>
      <c r="AH52" s="104" t="n">
        <f aca="false">IF(AND($P52="高",$AG52=0,OR($F52&lt;&gt;"原始數據",$T52&lt;&gt;1)),1,0)</f>
        <v>0</v>
      </c>
      <c r="AI52" s="53" t="str">
        <f aca="false">IF(AND($P52="高",ISNUMBER($AF52)),INDEX(IDX_SrcDate,$AF52),"—")</f>
        <v>—</v>
      </c>
      <c r="AJ52" s="104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6" t="s">
        <v>3296</v>
      </c>
      <c r="B53" s="215" t="s">
        <v>3183</v>
      </c>
      <c r="C53" s="36" t="s">
        <v>3184</v>
      </c>
      <c r="D53" s="36" t="s">
        <v>3297</v>
      </c>
      <c r="E53" s="19" t="s">
        <v>134</v>
      </c>
      <c r="F53" s="36" t="s">
        <v>80</v>
      </c>
      <c r="G53" s="215" t="s">
        <v>65</v>
      </c>
      <c r="H53" s="36" t="s">
        <v>587</v>
      </c>
      <c r="I53" s="6" t="s">
        <v>587</v>
      </c>
      <c r="J53" s="36" t="s">
        <v>587</v>
      </c>
      <c r="K53" s="41" t="n">
        <f aca="false">Inputs!$D$33</f>
        <v>150</v>
      </c>
      <c r="L53" s="41" t="n">
        <f aca="false">Inputs!$F$33</f>
        <v>250</v>
      </c>
      <c r="M53" s="36" t="s">
        <v>587</v>
      </c>
      <c r="N53" s="216" t="str">
        <f aca="false">Inputs!$H$33</f>
        <v>v4＝$200M</v>
      </c>
      <c r="O53" s="6" t="s">
        <v>587</v>
      </c>
      <c r="P53" s="215" t="s">
        <v>1115</v>
      </c>
      <c r="Q53" s="41" t="n">
        <f aca="false">Inputs!E33</f>
        <v>200</v>
      </c>
      <c r="R53" s="36" t="s">
        <v>587</v>
      </c>
      <c r="S53" s="35" t="str">
        <f aca="false">IF(ISNUMBER($AF53),INDEX(IDX_SrcStat,$AF53),"—")</f>
        <v>—</v>
      </c>
      <c r="T53" s="35" t="str">
        <f aca="false">IF(ISNUMBER($AF53),INDEX(IDX_SrcGrade,$AF53),"—")</f>
        <v>—</v>
      </c>
      <c r="U53" s="35" t="s">
        <v>3189</v>
      </c>
      <c r="V53" s="186" t="n">
        <f aca="false">IF(AND($F53="原始數據",$U53&lt;&gt;"連結 SRC"),1,0)</f>
        <v>0</v>
      </c>
      <c r="W53" s="186" t="n">
        <f aca="false">IF(AND($F53="Analogy",OR($H53="—",$H53="")),1,0)</f>
        <v>0</v>
      </c>
      <c r="X53" s="186" t="n">
        <f aca="false">IF(AND(OR($F53="Analogy",$F53="Assumed"),$G53&lt;&gt;"低",$G53&lt;&gt;"高",NOT(ISNUMBER($K53)),NOT(ISNUMBER($L53)),OR($M53="—",$M53="")),1,0)</f>
        <v>0</v>
      </c>
      <c r="Y53" s="186" t="n">
        <f aca="false">IF(AND(OR($F53="Analogy",$F53="Assumed",$F53="Derived（待改公式）",$F53="Derived（公式）"),OR($N53="—",$N53="",$N53=0)),1,0)</f>
        <v>0</v>
      </c>
      <c r="Z53" s="186" t="n">
        <f aca="false">IF(AND($F53="Decision",OR($J53="—",$J53="")),1,0)</f>
        <v>0</v>
      </c>
      <c r="AA53" s="183" t="n">
        <f aca="false">IF(OR($J53="—",$J53=""),0,IF(COUNTIF(Decisions!$A$5:$A$300,$J53)=0,1,0))</f>
        <v>0</v>
      </c>
      <c r="AB53" s="186" t="n">
        <f aca="false">IF(AND($F53="原始數據",$S53&lt;&gt;"Active"),1,0)</f>
        <v>0</v>
      </c>
      <c r="AC53" s="186" t="n">
        <f aca="false">IF(AND(ISNUMBER($K53),ISNUMBER($L53),ISNUMBER($Q53)),IF(OR($Q53&lt;MIN($K53,$L53),$Q53&gt;MAX($K53,$L53)),1,0),0)</f>
        <v>0</v>
      </c>
      <c r="AD53" s="186" t="n">
        <f aca="false">IF(AND(ISNUMBER($T53),$P53="高"),IF($T53=3,1,0),0)</f>
        <v>0</v>
      </c>
      <c r="AE53" s="186" t="n">
        <f aca="false">IF($S53="不存在",1,0)</f>
        <v>0</v>
      </c>
      <c r="AF53" s="35" t="str">
        <f aca="false">IF(OR($H53="—",$H53=""),"—",MATCH($H53,IDX_SrcID,0))</f>
        <v>—</v>
      </c>
      <c r="AG53" s="104" t="n">
        <f aca="false">IF(AND($P53="高",OR($AD53=1,$X53=1)),1,0)</f>
        <v>0</v>
      </c>
      <c r="AH53" s="104" t="n">
        <f aca="false">IF(AND($P53="高",$AG53=0,OR($F53&lt;&gt;"原始數據",$T53&lt;&gt;1)),1,0)</f>
        <v>0</v>
      </c>
      <c r="AI53" s="53" t="str">
        <f aca="false">IF(AND($P53="高",ISNUMBER($AF53)),INDEX(IDX_SrcDate,$AF53),"—")</f>
        <v>—</v>
      </c>
      <c r="AJ53" s="104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6" t="s">
        <v>3298</v>
      </c>
      <c r="B54" s="215" t="s">
        <v>3183</v>
      </c>
      <c r="C54" s="36" t="s">
        <v>3184</v>
      </c>
      <c r="D54" s="36" t="s">
        <v>3299</v>
      </c>
      <c r="E54" s="19" t="s">
        <v>134</v>
      </c>
      <c r="F54" s="36" t="s">
        <v>80</v>
      </c>
      <c r="G54" s="215" t="s">
        <v>1115</v>
      </c>
      <c r="H54" s="36" t="s">
        <v>587</v>
      </c>
      <c r="I54" s="6" t="s">
        <v>587</v>
      </c>
      <c r="J54" s="36" t="s">
        <v>587</v>
      </c>
      <c r="K54" s="215"/>
      <c r="L54" s="215"/>
      <c r="M54" s="36" t="s">
        <v>587</v>
      </c>
      <c r="N54" s="216" t="str">
        <f aca="false">Inputs!$H$33</f>
        <v>v4＝$200M</v>
      </c>
      <c r="O54" s="6" t="s">
        <v>587</v>
      </c>
      <c r="P54" s="215" t="s">
        <v>1115</v>
      </c>
      <c r="Q54" s="41" t="n">
        <f aca="false">Inputs!D33</f>
        <v>150</v>
      </c>
      <c r="R54" s="36" t="s">
        <v>587</v>
      </c>
      <c r="S54" s="35" t="str">
        <f aca="false">IF(ISNUMBER($AF54),INDEX(IDX_SrcStat,$AF54),"—")</f>
        <v>—</v>
      </c>
      <c r="T54" s="35" t="str">
        <f aca="false">IF(ISNUMBER($AF54),INDEX(IDX_SrcGrade,$AF54),"—")</f>
        <v>—</v>
      </c>
      <c r="U54" s="35" t="s">
        <v>3189</v>
      </c>
      <c r="V54" s="186" t="n">
        <f aca="false">IF(AND($F54="原始數據",$U54&lt;&gt;"連結 SRC"),1,0)</f>
        <v>0</v>
      </c>
      <c r="W54" s="186" t="n">
        <f aca="false">IF(AND($F54="Analogy",OR($H54="—",$H54="")),1,0)</f>
        <v>0</v>
      </c>
      <c r="X54" s="186" t="n">
        <f aca="false">IF(AND(OR($F54="Analogy",$F54="Assumed"),$G54&lt;&gt;"低",$G54&lt;&gt;"高",NOT(ISNUMBER($K54)),NOT(ISNUMBER($L54)),OR($M54="—",$M54="")),1,0)</f>
        <v>0</v>
      </c>
      <c r="Y54" s="186" t="n">
        <f aca="false">IF(AND(OR($F54="Analogy",$F54="Assumed",$F54="Derived（待改公式）",$F54="Derived（公式）"),OR($N54="—",$N54="",$N54=0)),1,0)</f>
        <v>0</v>
      </c>
      <c r="Z54" s="186" t="n">
        <f aca="false">IF(AND($F54="Decision",OR($J54="—",$J54="")),1,0)</f>
        <v>0</v>
      </c>
      <c r="AA54" s="183" t="n">
        <f aca="false">IF(OR($J54="—",$J54=""),0,IF(COUNTIF(Decisions!$A$5:$A$300,$J54)=0,1,0))</f>
        <v>0</v>
      </c>
      <c r="AB54" s="186" t="n">
        <f aca="false">IF(AND($F54="原始數據",$S54&lt;&gt;"Active"),1,0)</f>
        <v>0</v>
      </c>
      <c r="AC54" s="186" t="n">
        <f aca="false">IF(AND(ISNUMBER($K54),ISNUMBER($L54),ISNUMBER($Q54)),IF(OR($Q54&lt;MIN($K54,$L54),$Q54&gt;MAX($K54,$L54)),1,0),0)</f>
        <v>0</v>
      </c>
      <c r="AD54" s="186" t="n">
        <f aca="false">IF(AND(ISNUMBER($T54),$P54="高"),IF($T54=3,1,0),0)</f>
        <v>0</v>
      </c>
      <c r="AE54" s="186" t="n">
        <f aca="false">IF($S54="不存在",1,0)</f>
        <v>0</v>
      </c>
      <c r="AF54" s="35" t="str">
        <f aca="false">IF(OR($H54="—",$H54=""),"—",MATCH($H54,IDX_SrcID,0))</f>
        <v>—</v>
      </c>
      <c r="AG54" s="104" t="n">
        <f aca="false">IF(AND($P54="高",OR($AD54=1,$X54=1)),1,0)</f>
        <v>0</v>
      </c>
      <c r="AH54" s="104" t="n">
        <f aca="false">IF(AND($P54="高",$AG54=0,OR($F54&lt;&gt;"原始數據",$T54&lt;&gt;1)),1,0)</f>
        <v>0</v>
      </c>
      <c r="AI54" s="53" t="str">
        <f aca="false">IF(AND($P54="高",ISNUMBER($AF54)),INDEX(IDX_SrcDate,$AF54),"—")</f>
        <v>—</v>
      </c>
      <c r="AJ54" s="104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6" t="s">
        <v>3300</v>
      </c>
      <c r="B55" s="215" t="s">
        <v>3183</v>
      </c>
      <c r="C55" s="36" t="s">
        <v>3184</v>
      </c>
      <c r="D55" s="36" t="s">
        <v>3301</v>
      </c>
      <c r="E55" s="19" t="s">
        <v>134</v>
      </c>
      <c r="F55" s="36" t="s">
        <v>80</v>
      </c>
      <c r="G55" s="215" t="s">
        <v>1116</v>
      </c>
      <c r="H55" s="36" t="s">
        <v>587</v>
      </c>
      <c r="I55" s="6" t="s">
        <v>587</v>
      </c>
      <c r="J55" s="36" t="s">
        <v>587</v>
      </c>
      <c r="K55" s="215"/>
      <c r="L55" s="215"/>
      <c r="M55" s="36" t="s">
        <v>587</v>
      </c>
      <c r="N55" s="216" t="str">
        <f aca="false">Inputs!$H$33</f>
        <v>v4＝$200M</v>
      </c>
      <c r="O55" s="6" t="s">
        <v>587</v>
      </c>
      <c r="P55" s="215" t="s">
        <v>1115</v>
      </c>
      <c r="Q55" s="41" t="n">
        <f aca="false">Inputs!F33</f>
        <v>250</v>
      </c>
      <c r="R55" s="36" t="s">
        <v>587</v>
      </c>
      <c r="S55" s="35" t="str">
        <f aca="false">IF(ISNUMBER($AF55),INDEX(IDX_SrcStat,$AF55),"—")</f>
        <v>—</v>
      </c>
      <c r="T55" s="35" t="str">
        <f aca="false">IF(ISNUMBER($AF55),INDEX(IDX_SrcGrade,$AF55),"—")</f>
        <v>—</v>
      </c>
      <c r="U55" s="35" t="s">
        <v>3189</v>
      </c>
      <c r="V55" s="186" t="n">
        <f aca="false">IF(AND($F55="原始數據",$U55&lt;&gt;"連結 SRC"),1,0)</f>
        <v>0</v>
      </c>
      <c r="W55" s="186" t="n">
        <f aca="false">IF(AND($F55="Analogy",OR($H55="—",$H55="")),1,0)</f>
        <v>0</v>
      </c>
      <c r="X55" s="186" t="n">
        <f aca="false">IF(AND(OR($F55="Analogy",$F55="Assumed"),$G55&lt;&gt;"低",$G55&lt;&gt;"高",NOT(ISNUMBER($K55)),NOT(ISNUMBER($L55)),OR($M55="—",$M55="")),1,0)</f>
        <v>0</v>
      </c>
      <c r="Y55" s="186" t="n">
        <f aca="false">IF(AND(OR($F55="Analogy",$F55="Assumed",$F55="Derived（待改公式）",$F55="Derived（公式）"),OR($N55="—",$N55="",$N55=0)),1,0)</f>
        <v>0</v>
      </c>
      <c r="Z55" s="186" t="n">
        <f aca="false">IF(AND($F55="Decision",OR($J55="—",$J55="")),1,0)</f>
        <v>0</v>
      </c>
      <c r="AA55" s="183" t="n">
        <f aca="false">IF(OR($J55="—",$J55=""),0,IF(COUNTIF(Decisions!$A$5:$A$300,$J55)=0,1,0))</f>
        <v>0</v>
      </c>
      <c r="AB55" s="186" t="n">
        <f aca="false">IF(AND($F55="原始數據",$S55&lt;&gt;"Active"),1,0)</f>
        <v>0</v>
      </c>
      <c r="AC55" s="186" t="n">
        <f aca="false">IF(AND(ISNUMBER($K55),ISNUMBER($L55),ISNUMBER($Q55)),IF(OR($Q55&lt;MIN($K55,$L55),$Q55&gt;MAX($K55,$L55)),1,0),0)</f>
        <v>0</v>
      </c>
      <c r="AD55" s="186" t="n">
        <f aca="false">IF(AND(ISNUMBER($T55),$P55="高"),IF($T55=3,1,0),0)</f>
        <v>0</v>
      </c>
      <c r="AE55" s="186" t="n">
        <f aca="false">IF($S55="不存在",1,0)</f>
        <v>0</v>
      </c>
      <c r="AF55" s="35" t="str">
        <f aca="false">IF(OR($H55="—",$H55=""),"—",MATCH($H55,IDX_SrcID,0))</f>
        <v>—</v>
      </c>
      <c r="AG55" s="104" t="n">
        <f aca="false">IF(AND($P55="高",OR($AD55=1,$X55=1)),1,0)</f>
        <v>0</v>
      </c>
      <c r="AH55" s="104" t="n">
        <f aca="false">IF(AND($P55="高",$AG55=0,OR($F55&lt;&gt;"原始數據",$T55&lt;&gt;1)),1,0)</f>
        <v>0</v>
      </c>
      <c r="AI55" s="53" t="str">
        <f aca="false">IF(AND($P55="高",ISNUMBER($AF55)),INDEX(IDX_SrcDate,$AF55),"—")</f>
        <v>—</v>
      </c>
      <c r="AJ55" s="104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6" t="s">
        <v>3302</v>
      </c>
      <c r="B56" s="215" t="s">
        <v>3183</v>
      </c>
      <c r="C56" s="36" t="s">
        <v>3184</v>
      </c>
      <c r="D56" s="36" t="s">
        <v>3303</v>
      </c>
      <c r="E56" s="19" t="s">
        <v>136</v>
      </c>
      <c r="F56" s="36" t="s">
        <v>80</v>
      </c>
      <c r="G56" s="215" t="s">
        <v>65</v>
      </c>
      <c r="H56" s="36" t="s">
        <v>587</v>
      </c>
      <c r="I56" s="6" t="s">
        <v>587</v>
      </c>
      <c r="J56" s="36" t="s">
        <v>587</v>
      </c>
      <c r="K56" s="175" t="n">
        <f aca="false">Inputs!$D$34</f>
        <v>0.04</v>
      </c>
      <c r="L56" s="175" t="n">
        <f aca="false">Inputs!$F$34</f>
        <v>0.06</v>
      </c>
      <c r="M56" s="36" t="s">
        <v>587</v>
      </c>
      <c r="N56" s="216" t="str">
        <f aca="false">Inputs!$H$34</f>
        <v>v4＝$50K/MW</v>
      </c>
      <c r="O56" s="6" t="s">
        <v>587</v>
      </c>
      <c r="P56" s="215" t="s">
        <v>1115</v>
      </c>
      <c r="Q56" s="175" t="n">
        <f aca="false">Inputs!E34</f>
        <v>0.05</v>
      </c>
      <c r="R56" s="36" t="s">
        <v>587</v>
      </c>
      <c r="S56" s="35" t="str">
        <f aca="false">IF(ISNUMBER($AF56),INDEX(IDX_SrcStat,$AF56),"—")</f>
        <v>—</v>
      </c>
      <c r="T56" s="35" t="str">
        <f aca="false">IF(ISNUMBER($AF56),INDEX(IDX_SrcGrade,$AF56),"—")</f>
        <v>—</v>
      </c>
      <c r="U56" s="35" t="s">
        <v>3189</v>
      </c>
      <c r="V56" s="186" t="n">
        <f aca="false">IF(AND($F56="原始數據",$U56&lt;&gt;"連結 SRC"),1,0)</f>
        <v>0</v>
      </c>
      <c r="W56" s="186" t="n">
        <f aca="false">IF(AND($F56="Analogy",OR($H56="—",$H56="")),1,0)</f>
        <v>0</v>
      </c>
      <c r="X56" s="186" t="n">
        <f aca="false">IF(AND(OR($F56="Analogy",$F56="Assumed"),$G56&lt;&gt;"低",$G56&lt;&gt;"高",NOT(ISNUMBER($K56)),NOT(ISNUMBER($L56)),OR($M56="—",$M56="")),1,0)</f>
        <v>0</v>
      </c>
      <c r="Y56" s="186" t="n">
        <f aca="false">IF(AND(OR($F56="Analogy",$F56="Assumed",$F56="Derived（待改公式）",$F56="Derived（公式）"),OR($N56="—",$N56="",$N56=0)),1,0)</f>
        <v>0</v>
      </c>
      <c r="Z56" s="186" t="n">
        <f aca="false">IF(AND($F56="Decision",OR($J56="—",$J56="")),1,0)</f>
        <v>0</v>
      </c>
      <c r="AA56" s="183" t="n">
        <f aca="false">IF(OR($J56="—",$J56=""),0,IF(COUNTIF(Decisions!$A$5:$A$300,$J56)=0,1,0))</f>
        <v>0</v>
      </c>
      <c r="AB56" s="186" t="n">
        <f aca="false">IF(AND($F56="原始數據",$S56&lt;&gt;"Active"),1,0)</f>
        <v>0</v>
      </c>
      <c r="AC56" s="186" t="n">
        <f aca="false">IF(AND(ISNUMBER($K56),ISNUMBER($L56),ISNUMBER($Q56)),IF(OR($Q56&lt;MIN($K56,$L56),$Q56&gt;MAX($K56,$L56)),1,0),0)</f>
        <v>0</v>
      </c>
      <c r="AD56" s="186" t="n">
        <f aca="false">IF(AND(ISNUMBER($T56),$P56="高"),IF($T56=3,1,0),0)</f>
        <v>0</v>
      </c>
      <c r="AE56" s="186" t="n">
        <f aca="false">IF($S56="不存在",1,0)</f>
        <v>0</v>
      </c>
      <c r="AF56" s="35" t="str">
        <f aca="false">IF(OR($H56="—",$H56=""),"—",MATCH($H56,IDX_SrcID,0))</f>
        <v>—</v>
      </c>
      <c r="AG56" s="104" t="n">
        <f aca="false">IF(AND($P56="高",OR($AD56=1,$X56=1)),1,0)</f>
        <v>0</v>
      </c>
      <c r="AH56" s="104" t="n">
        <f aca="false">IF(AND($P56="高",$AG56=0,OR($F56&lt;&gt;"原始數據",$T56&lt;&gt;1)),1,0)</f>
        <v>0</v>
      </c>
      <c r="AI56" s="53" t="str">
        <f aca="false">IF(AND($P56="高",ISNUMBER($AF56)),INDEX(IDX_SrcDate,$AF56),"—")</f>
        <v>—</v>
      </c>
      <c r="AJ56" s="104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6" t="s">
        <v>3304</v>
      </c>
      <c r="B57" s="215" t="s">
        <v>3183</v>
      </c>
      <c r="C57" s="36" t="s">
        <v>3184</v>
      </c>
      <c r="D57" s="36" t="s">
        <v>3305</v>
      </c>
      <c r="E57" s="19" t="s">
        <v>136</v>
      </c>
      <c r="F57" s="36" t="s">
        <v>80</v>
      </c>
      <c r="G57" s="215" t="s">
        <v>1115</v>
      </c>
      <c r="H57" s="36" t="s">
        <v>587</v>
      </c>
      <c r="I57" s="6" t="s">
        <v>587</v>
      </c>
      <c r="J57" s="36" t="s">
        <v>587</v>
      </c>
      <c r="K57" s="215"/>
      <c r="L57" s="215"/>
      <c r="M57" s="36" t="s">
        <v>587</v>
      </c>
      <c r="N57" s="216" t="str">
        <f aca="false">Inputs!$H$34</f>
        <v>v4＝$50K/MW</v>
      </c>
      <c r="O57" s="6" t="s">
        <v>587</v>
      </c>
      <c r="P57" s="215" t="s">
        <v>1115</v>
      </c>
      <c r="Q57" s="175" t="n">
        <f aca="false">Inputs!D34</f>
        <v>0.04</v>
      </c>
      <c r="R57" s="36" t="s">
        <v>587</v>
      </c>
      <c r="S57" s="35" t="str">
        <f aca="false">IF(ISNUMBER($AF57),INDEX(IDX_SrcStat,$AF57),"—")</f>
        <v>—</v>
      </c>
      <c r="T57" s="35" t="str">
        <f aca="false">IF(ISNUMBER($AF57),INDEX(IDX_SrcGrade,$AF57),"—")</f>
        <v>—</v>
      </c>
      <c r="U57" s="35" t="s">
        <v>3189</v>
      </c>
      <c r="V57" s="186" t="n">
        <f aca="false">IF(AND($F57="原始數據",$U57&lt;&gt;"連結 SRC"),1,0)</f>
        <v>0</v>
      </c>
      <c r="W57" s="186" t="n">
        <f aca="false">IF(AND($F57="Analogy",OR($H57="—",$H57="")),1,0)</f>
        <v>0</v>
      </c>
      <c r="X57" s="186" t="n">
        <f aca="false">IF(AND(OR($F57="Analogy",$F57="Assumed"),$G57&lt;&gt;"低",$G57&lt;&gt;"高",NOT(ISNUMBER($K57)),NOT(ISNUMBER($L57)),OR($M57="—",$M57="")),1,0)</f>
        <v>0</v>
      </c>
      <c r="Y57" s="186" t="n">
        <f aca="false">IF(AND(OR($F57="Analogy",$F57="Assumed",$F57="Derived（待改公式）",$F57="Derived（公式）"),OR($N57="—",$N57="",$N57=0)),1,0)</f>
        <v>0</v>
      </c>
      <c r="Z57" s="186" t="n">
        <f aca="false">IF(AND($F57="Decision",OR($J57="—",$J57="")),1,0)</f>
        <v>0</v>
      </c>
      <c r="AA57" s="183" t="n">
        <f aca="false">IF(OR($J57="—",$J57=""),0,IF(COUNTIF(Decisions!$A$5:$A$300,$J57)=0,1,0))</f>
        <v>0</v>
      </c>
      <c r="AB57" s="186" t="n">
        <f aca="false">IF(AND($F57="原始數據",$S57&lt;&gt;"Active"),1,0)</f>
        <v>0</v>
      </c>
      <c r="AC57" s="186" t="n">
        <f aca="false">IF(AND(ISNUMBER($K57),ISNUMBER($L57),ISNUMBER($Q57)),IF(OR($Q57&lt;MIN($K57,$L57),$Q57&gt;MAX($K57,$L57)),1,0),0)</f>
        <v>0</v>
      </c>
      <c r="AD57" s="186" t="n">
        <f aca="false">IF(AND(ISNUMBER($T57),$P57="高"),IF($T57=3,1,0),0)</f>
        <v>0</v>
      </c>
      <c r="AE57" s="186" t="n">
        <f aca="false">IF($S57="不存在",1,0)</f>
        <v>0</v>
      </c>
      <c r="AF57" s="35" t="str">
        <f aca="false">IF(OR($H57="—",$H57=""),"—",MATCH($H57,IDX_SrcID,0))</f>
        <v>—</v>
      </c>
      <c r="AG57" s="104" t="n">
        <f aca="false">IF(AND($P57="高",OR($AD57=1,$X57=1)),1,0)</f>
        <v>0</v>
      </c>
      <c r="AH57" s="104" t="n">
        <f aca="false">IF(AND($P57="高",$AG57=0,OR($F57&lt;&gt;"原始數據",$T57&lt;&gt;1)),1,0)</f>
        <v>0</v>
      </c>
      <c r="AI57" s="53" t="str">
        <f aca="false">IF(AND($P57="高",ISNUMBER($AF57)),INDEX(IDX_SrcDate,$AF57),"—")</f>
        <v>—</v>
      </c>
      <c r="AJ57" s="104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6" t="s">
        <v>3306</v>
      </c>
      <c r="B58" s="215" t="s">
        <v>3183</v>
      </c>
      <c r="C58" s="36" t="s">
        <v>3184</v>
      </c>
      <c r="D58" s="36" t="s">
        <v>3307</v>
      </c>
      <c r="E58" s="19" t="s">
        <v>136</v>
      </c>
      <c r="F58" s="36" t="s">
        <v>80</v>
      </c>
      <c r="G58" s="215" t="s">
        <v>1116</v>
      </c>
      <c r="H58" s="36" t="s">
        <v>587</v>
      </c>
      <c r="I58" s="6" t="s">
        <v>587</v>
      </c>
      <c r="J58" s="36" t="s">
        <v>587</v>
      </c>
      <c r="K58" s="215"/>
      <c r="L58" s="215"/>
      <c r="M58" s="36" t="s">
        <v>587</v>
      </c>
      <c r="N58" s="216" t="str">
        <f aca="false">Inputs!$H$34</f>
        <v>v4＝$50K/MW</v>
      </c>
      <c r="O58" s="6" t="s">
        <v>587</v>
      </c>
      <c r="P58" s="215" t="s">
        <v>1115</v>
      </c>
      <c r="Q58" s="175" t="n">
        <f aca="false">Inputs!F34</f>
        <v>0.06</v>
      </c>
      <c r="R58" s="36" t="s">
        <v>587</v>
      </c>
      <c r="S58" s="35" t="str">
        <f aca="false">IF(ISNUMBER($AF58),INDEX(IDX_SrcStat,$AF58),"—")</f>
        <v>—</v>
      </c>
      <c r="T58" s="35" t="str">
        <f aca="false">IF(ISNUMBER($AF58),INDEX(IDX_SrcGrade,$AF58),"—")</f>
        <v>—</v>
      </c>
      <c r="U58" s="35" t="s">
        <v>3189</v>
      </c>
      <c r="V58" s="186" t="n">
        <f aca="false">IF(AND($F58="原始數據",$U58&lt;&gt;"連結 SRC"),1,0)</f>
        <v>0</v>
      </c>
      <c r="W58" s="186" t="n">
        <f aca="false">IF(AND($F58="Analogy",OR($H58="—",$H58="")),1,0)</f>
        <v>0</v>
      </c>
      <c r="X58" s="186" t="n">
        <f aca="false">IF(AND(OR($F58="Analogy",$F58="Assumed"),$G58&lt;&gt;"低",$G58&lt;&gt;"高",NOT(ISNUMBER($K58)),NOT(ISNUMBER($L58)),OR($M58="—",$M58="")),1,0)</f>
        <v>0</v>
      </c>
      <c r="Y58" s="186" t="n">
        <f aca="false">IF(AND(OR($F58="Analogy",$F58="Assumed",$F58="Derived（待改公式）",$F58="Derived（公式）"),OR($N58="—",$N58="",$N58=0)),1,0)</f>
        <v>0</v>
      </c>
      <c r="Z58" s="186" t="n">
        <f aca="false">IF(AND($F58="Decision",OR($J58="—",$J58="")),1,0)</f>
        <v>0</v>
      </c>
      <c r="AA58" s="183" t="n">
        <f aca="false">IF(OR($J58="—",$J58=""),0,IF(COUNTIF(Decisions!$A$5:$A$300,$J58)=0,1,0))</f>
        <v>0</v>
      </c>
      <c r="AB58" s="186" t="n">
        <f aca="false">IF(AND($F58="原始數據",$S58&lt;&gt;"Active"),1,0)</f>
        <v>0</v>
      </c>
      <c r="AC58" s="186" t="n">
        <f aca="false">IF(AND(ISNUMBER($K58),ISNUMBER($L58),ISNUMBER($Q58)),IF(OR($Q58&lt;MIN($K58,$L58),$Q58&gt;MAX($K58,$L58)),1,0),0)</f>
        <v>0</v>
      </c>
      <c r="AD58" s="186" t="n">
        <f aca="false">IF(AND(ISNUMBER($T58),$P58="高"),IF($T58=3,1,0),0)</f>
        <v>0</v>
      </c>
      <c r="AE58" s="186" t="n">
        <f aca="false">IF($S58="不存在",1,0)</f>
        <v>0</v>
      </c>
      <c r="AF58" s="35" t="str">
        <f aca="false">IF(OR($H58="—",$H58=""),"—",MATCH($H58,IDX_SrcID,0))</f>
        <v>—</v>
      </c>
      <c r="AG58" s="104" t="n">
        <f aca="false">IF(AND($P58="高",OR($AD58=1,$X58=1)),1,0)</f>
        <v>0</v>
      </c>
      <c r="AH58" s="104" t="n">
        <f aca="false">IF(AND($P58="高",$AG58=0,OR($F58&lt;&gt;"原始數據",$T58&lt;&gt;1)),1,0)</f>
        <v>0</v>
      </c>
      <c r="AI58" s="53" t="str">
        <f aca="false">IF(AND($P58="高",ISNUMBER($AF58)),INDEX(IDX_SrcDate,$AF58),"—")</f>
        <v>—</v>
      </c>
      <c r="AJ58" s="104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6" t="s">
        <v>3308</v>
      </c>
      <c r="B59" s="215" t="s">
        <v>3183</v>
      </c>
      <c r="C59" s="36" t="s">
        <v>3184</v>
      </c>
      <c r="D59" s="36" t="s">
        <v>3309</v>
      </c>
      <c r="E59" s="19" t="s">
        <v>139</v>
      </c>
      <c r="F59" s="36" t="s">
        <v>80</v>
      </c>
      <c r="G59" s="215" t="s">
        <v>65</v>
      </c>
      <c r="H59" s="36" t="s">
        <v>587</v>
      </c>
      <c r="I59" s="6" t="s">
        <v>587</v>
      </c>
      <c r="J59" s="36" t="s">
        <v>587</v>
      </c>
      <c r="K59" s="179" t="n">
        <f aca="false">Inputs!$D$35</f>
        <v>0.003</v>
      </c>
      <c r="L59" s="179" t="n">
        <f aca="false">Inputs!$F$35</f>
        <v>0.008</v>
      </c>
      <c r="M59" s="36" t="s">
        <v>587</v>
      </c>
      <c r="N59" s="216" t="str">
        <f aca="false">Inputs!$H$35</f>
        <v>v4＝0.5%</v>
      </c>
      <c r="O59" s="6" t="s">
        <v>3285</v>
      </c>
      <c r="P59" s="215" t="s">
        <v>1115</v>
      </c>
      <c r="Q59" s="179" t="n">
        <f aca="false">Inputs!E35</f>
        <v>0.005</v>
      </c>
      <c r="R59" s="36" t="s">
        <v>587</v>
      </c>
      <c r="S59" s="35" t="str">
        <f aca="false">IF(ISNUMBER($AF59),INDEX(IDX_SrcStat,$AF59),"—")</f>
        <v>—</v>
      </c>
      <c r="T59" s="35" t="str">
        <f aca="false">IF(ISNUMBER($AF59),INDEX(IDX_SrcGrade,$AF59),"—")</f>
        <v>—</v>
      </c>
      <c r="U59" s="35" t="s">
        <v>3189</v>
      </c>
      <c r="V59" s="186" t="n">
        <f aca="false">IF(AND($F59="原始數據",$U59&lt;&gt;"連結 SRC"),1,0)</f>
        <v>0</v>
      </c>
      <c r="W59" s="186" t="n">
        <f aca="false">IF(AND($F59="Analogy",OR($H59="—",$H59="")),1,0)</f>
        <v>0</v>
      </c>
      <c r="X59" s="186" t="n">
        <f aca="false">IF(AND(OR($F59="Analogy",$F59="Assumed"),$G59&lt;&gt;"低",$G59&lt;&gt;"高",NOT(ISNUMBER($K59)),NOT(ISNUMBER($L59)),OR($M59="—",$M59="")),1,0)</f>
        <v>0</v>
      </c>
      <c r="Y59" s="186" t="n">
        <f aca="false">IF(AND(OR($F59="Analogy",$F59="Assumed",$F59="Derived（待改公式）",$F59="Derived（公式）"),OR($N59="—",$N59="",$N59=0)),1,0)</f>
        <v>0</v>
      </c>
      <c r="Z59" s="186" t="n">
        <f aca="false">IF(AND($F59="Decision",OR($J59="—",$J59="")),1,0)</f>
        <v>0</v>
      </c>
      <c r="AA59" s="183" t="n">
        <f aca="false">IF(OR($J59="—",$J59=""),0,IF(COUNTIF(Decisions!$A$5:$A$300,$J59)=0,1,0))</f>
        <v>0</v>
      </c>
      <c r="AB59" s="186" t="n">
        <f aca="false">IF(AND($F59="原始數據",$S59&lt;&gt;"Active"),1,0)</f>
        <v>0</v>
      </c>
      <c r="AC59" s="186" t="n">
        <f aca="false">IF(AND(ISNUMBER($K59),ISNUMBER($L59),ISNUMBER($Q59)),IF(OR($Q59&lt;MIN($K59,$L59),$Q59&gt;MAX($K59,$L59)),1,0),0)</f>
        <v>0</v>
      </c>
      <c r="AD59" s="186" t="n">
        <f aca="false">IF(AND(ISNUMBER($T59),$P59="高"),IF($T59=3,1,0),0)</f>
        <v>0</v>
      </c>
      <c r="AE59" s="186" t="n">
        <f aca="false">IF($S59="不存在",1,0)</f>
        <v>0</v>
      </c>
      <c r="AF59" s="35" t="str">
        <f aca="false">IF(OR($H59="—",$H59=""),"—",MATCH($H59,IDX_SrcID,0))</f>
        <v>—</v>
      </c>
      <c r="AG59" s="104" t="n">
        <f aca="false">IF(AND($P59="高",OR($AD59=1,$X59=1)),1,0)</f>
        <v>0</v>
      </c>
      <c r="AH59" s="104" t="n">
        <f aca="false">IF(AND($P59="高",$AG59=0,OR($F59&lt;&gt;"原始數據",$T59&lt;&gt;1)),1,0)</f>
        <v>0</v>
      </c>
      <c r="AI59" s="53" t="str">
        <f aca="false">IF(AND($P59="高",ISNUMBER($AF59)),INDEX(IDX_SrcDate,$AF59),"—")</f>
        <v>—</v>
      </c>
      <c r="AJ59" s="104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6" t="s">
        <v>3310</v>
      </c>
      <c r="B60" s="215" t="s">
        <v>3183</v>
      </c>
      <c r="C60" s="36" t="s">
        <v>3184</v>
      </c>
      <c r="D60" s="36" t="s">
        <v>3311</v>
      </c>
      <c r="E60" s="19" t="s">
        <v>139</v>
      </c>
      <c r="F60" s="36" t="s">
        <v>80</v>
      </c>
      <c r="G60" s="215" t="s">
        <v>1115</v>
      </c>
      <c r="H60" s="36" t="s">
        <v>587</v>
      </c>
      <c r="I60" s="6" t="s">
        <v>587</v>
      </c>
      <c r="J60" s="36" t="s">
        <v>587</v>
      </c>
      <c r="K60" s="215"/>
      <c r="L60" s="215"/>
      <c r="M60" s="36" t="s">
        <v>587</v>
      </c>
      <c r="N60" s="216" t="str">
        <f aca="false">Inputs!$H$35</f>
        <v>v4＝0.5%</v>
      </c>
      <c r="O60" s="6" t="s">
        <v>3285</v>
      </c>
      <c r="P60" s="215" t="s">
        <v>1115</v>
      </c>
      <c r="Q60" s="179" t="n">
        <f aca="false">Inputs!D35</f>
        <v>0.003</v>
      </c>
      <c r="R60" s="36" t="s">
        <v>587</v>
      </c>
      <c r="S60" s="35" t="str">
        <f aca="false">IF(ISNUMBER($AF60),INDEX(IDX_SrcStat,$AF60),"—")</f>
        <v>—</v>
      </c>
      <c r="T60" s="35" t="str">
        <f aca="false">IF(ISNUMBER($AF60),INDEX(IDX_SrcGrade,$AF60),"—")</f>
        <v>—</v>
      </c>
      <c r="U60" s="35" t="s">
        <v>3189</v>
      </c>
      <c r="V60" s="186" t="n">
        <f aca="false">IF(AND($F60="原始數據",$U60&lt;&gt;"連結 SRC"),1,0)</f>
        <v>0</v>
      </c>
      <c r="W60" s="186" t="n">
        <f aca="false">IF(AND($F60="Analogy",OR($H60="—",$H60="")),1,0)</f>
        <v>0</v>
      </c>
      <c r="X60" s="186" t="n">
        <f aca="false">IF(AND(OR($F60="Analogy",$F60="Assumed"),$G60&lt;&gt;"低",$G60&lt;&gt;"高",NOT(ISNUMBER($K60)),NOT(ISNUMBER($L60)),OR($M60="—",$M60="")),1,0)</f>
        <v>0</v>
      </c>
      <c r="Y60" s="186" t="n">
        <f aca="false">IF(AND(OR($F60="Analogy",$F60="Assumed",$F60="Derived（待改公式）",$F60="Derived（公式）"),OR($N60="—",$N60="",$N60=0)),1,0)</f>
        <v>0</v>
      </c>
      <c r="Z60" s="186" t="n">
        <f aca="false">IF(AND($F60="Decision",OR($J60="—",$J60="")),1,0)</f>
        <v>0</v>
      </c>
      <c r="AA60" s="183" t="n">
        <f aca="false">IF(OR($J60="—",$J60=""),0,IF(COUNTIF(Decisions!$A$5:$A$300,$J60)=0,1,0))</f>
        <v>0</v>
      </c>
      <c r="AB60" s="186" t="n">
        <f aca="false">IF(AND($F60="原始數據",$S60&lt;&gt;"Active"),1,0)</f>
        <v>0</v>
      </c>
      <c r="AC60" s="186" t="n">
        <f aca="false">IF(AND(ISNUMBER($K60),ISNUMBER($L60),ISNUMBER($Q60)),IF(OR($Q60&lt;MIN($K60,$L60),$Q60&gt;MAX($K60,$L60)),1,0),0)</f>
        <v>0</v>
      </c>
      <c r="AD60" s="186" t="n">
        <f aca="false">IF(AND(ISNUMBER($T60),$P60="高"),IF($T60=3,1,0),0)</f>
        <v>0</v>
      </c>
      <c r="AE60" s="186" t="n">
        <f aca="false">IF($S60="不存在",1,0)</f>
        <v>0</v>
      </c>
      <c r="AF60" s="35" t="str">
        <f aca="false">IF(OR($H60="—",$H60=""),"—",MATCH($H60,IDX_SrcID,0))</f>
        <v>—</v>
      </c>
      <c r="AG60" s="104" t="n">
        <f aca="false">IF(AND($P60="高",OR($AD60=1,$X60=1)),1,0)</f>
        <v>0</v>
      </c>
      <c r="AH60" s="104" t="n">
        <f aca="false">IF(AND($P60="高",$AG60=0,OR($F60&lt;&gt;"原始數據",$T60&lt;&gt;1)),1,0)</f>
        <v>0</v>
      </c>
      <c r="AI60" s="53" t="str">
        <f aca="false">IF(AND($P60="高",ISNUMBER($AF60)),INDEX(IDX_SrcDate,$AF60),"—")</f>
        <v>—</v>
      </c>
      <c r="AJ60" s="104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6" t="s">
        <v>3312</v>
      </c>
      <c r="B61" s="215" t="s">
        <v>3183</v>
      </c>
      <c r="C61" s="36" t="s">
        <v>3184</v>
      </c>
      <c r="D61" s="36" t="s">
        <v>3313</v>
      </c>
      <c r="E61" s="19" t="s">
        <v>139</v>
      </c>
      <c r="F61" s="36" t="s">
        <v>80</v>
      </c>
      <c r="G61" s="215" t="s">
        <v>1116</v>
      </c>
      <c r="H61" s="36" t="s">
        <v>587</v>
      </c>
      <c r="I61" s="6" t="s">
        <v>587</v>
      </c>
      <c r="J61" s="36" t="s">
        <v>587</v>
      </c>
      <c r="K61" s="215"/>
      <c r="L61" s="215"/>
      <c r="M61" s="36" t="s">
        <v>587</v>
      </c>
      <c r="N61" s="216" t="str">
        <f aca="false">Inputs!$H$35</f>
        <v>v4＝0.5%</v>
      </c>
      <c r="O61" s="6" t="s">
        <v>3285</v>
      </c>
      <c r="P61" s="215" t="s">
        <v>1115</v>
      </c>
      <c r="Q61" s="179" t="n">
        <f aca="false">Inputs!F35</f>
        <v>0.008</v>
      </c>
      <c r="R61" s="36" t="s">
        <v>587</v>
      </c>
      <c r="S61" s="35" t="str">
        <f aca="false">IF(ISNUMBER($AF61),INDEX(IDX_SrcStat,$AF61),"—")</f>
        <v>—</v>
      </c>
      <c r="T61" s="35" t="str">
        <f aca="false">IF(ISNUMBER($AF61),INDEX(IDX_SrcGrade,$AF61),"—")</f>
        <v>—</v>
      </c>
      <c r="U61" s="35" t="s">
        <v>3189</v>
      </c>
      <c r="V61" s="186" t="n">
        <f aca="false">IF(AND($F61="原始數據",$U61&lt;&gt;"連結 SRC"),1,0)</f>
        <v>0</v>
      </c>
      <c r="W61" s="186" t="n">
        <f aca="false">IF(AND($F61="Analogy",OR($H61="—",$H61="")),1,0)</f>
        <v>0</v>
      </c>
      <c r="X61" s="186" t="n">
        <f aca="false">IF(AND(OR($F61="Analogy",$F61="Assumed"),$G61&lt;&gt;"低",$G61&lt;&gt;"高",NOT(ISNUMBER($K61)),NOT(ISNUMBER($L61)),OR($M61="—",$M61="")),1,0)</f>
        <v>0</v>
      </c>
      <c r="Y61" s="186" t="n">
        <f aca="false">IF(AND(OR($F61="Analogy",$F61="Assumed",$F61="Derived（待改公式）",$F61="Derived（公式）"),OR($N61="—",$N61="",$N61=0)),1,0)</f>
        <v>0</v>
      </c>
      <c r="Z61" s="186" t="n">
        <f aca="false">IF(AND($F61="Decision",OR($J61="—",$J61="")),1,0)</f>
        <v>0</v>
      </c>
      <c r="AA61" s="183" t="n">
        <f aca="false">IF(OR($J61="—",$J61=""),0,IF(COUNTIF(Decisions!$A$5:$A$300,$J61)=0,1,0))</f>
        <v>0</v>
      </c>
      <c r="AB61" s="186" t="n">
        <f aca="false">IF(AND($F61="原始數據",$S61&lt;&gt;"Active"),1,0)</f>
        <v>0</v>
      </c>
      <c r="AC61" s="186" t="n">
        <f aca="false">IF(AND(ISNUMBER($K61),ISNUMBER($L61),ISNUMBER($Q61)),IF(OR($Q61&lt;MIN($K61,$L61),$Q61&gt;MAX($K61,$L61)),1,0),0)</f>
        <v>0</v>
      </c>
      <c r="AD61" s="186" t="n">
        <f aca="false">IF(AND(ISNUMBER($T61),$P61="高"),IF($T61=3,1,0),0)</f>
        <v>0</v>
      </c>
      <c r="AE61" s="186" t="n">
        <f aca="false">IF($S61="不存在",1,0)</f>
        <v>0</v>
      </c>
      <c r="AF61" s="35" t="str">
        <f aca="false">IF(OR($H61="—",$H61=""),"—",MATCH($H61,IDX_SrcID,0))</f>
        <v>—</v>
      </c>
      <c r="AG61" s="104" t="n">
        <f aca="false">IF(AND($P61="高",OR($AD61=1,$X61=1)),1,0)</f>
        <v>0</v>
      </c>
      <c r="AH61" s="104" t="n">
        <f aca="false">IF(AND($P61="高",$AG61=0,OR($F61&lt;&gt;"原始數據",$T61&lt;&gt;1)),1,0)</f>
        <v>0</v>
      </c>
      <c r="AI61" s="53" t="str">
        <f aca="false">IF(AND($P61="高",ISNUMBER($AF61)),INDEX(IDX_SrcDate,$AF61),"—")</f>
        <v>—</v>
      </c>
      <c r="AJ61" s="104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6" t="s">
        <v>3314</v>
      </c>
      <c r="B62" s="215" t="s">
        <v>3183</v>
      </c>
      <c r="C62" s="36" t="s">
        <v>3184</v>
      </c>
      <c r="D62" s="36" t="s">
        <v>3315</v>
      </c>
      <c r="E62" s="6" t="s">
        <v>113</v>
      </c>
      <c r="F62" s="215" t="s">
        <v>298</v>
      </c>
      <c r="G62" s="215" t="s">
        <v>3185</v>
      </c>
      <c r="H62" s="36" t="s">
        <v>3316</v>
      </c>
      <c r="I62" s="19" t="s">
        <v>3220</v>
      </c>
      <c r="J62" s="36" t="s">
        <v>3317</v>
      </c>
      <c r="K62" s="215"/>
      <c r="L62" s="215"/>
      <c r="M62" s="36" t="s">
        <v>587</v>
      </c>
      <c r="N62" s="19" t="s">
        <v>3318</v>
      </c>
      <c r="O62" s="6" t="s">
        <v>587</v>
      </c>
      <c r="P62" s="215" t="s">
        <v>1116</v>
      </c>
      <c r="Q62" s="41" t="n">
        <f aca="false">Inputs!D23</f>
        <v>6</v>
      </c>
      <c r="R62" s="185" t="n">
        <f aca="false">SRC_DC_007</f>
        <v>6</v>
      </c>
      <c r="S62" s="35" t="str">
        <f aca="false">IF(ISNUMBER($AF62),INDEX(IDX_SrcStat,$AF62),"—")</f>
        <v>Active</v>
      </c>
      <c r="T62" s="35" t="n">
        <f aca="false">IF(ISNUMBER($AF62),INDEX(IDX_SrcGrade,$AF62),"—")</f>
        <v>2</v>
      </c>
      <c r="U62" s="35" t="s">
        <v>3222</v>
      </c>
      <c r="V62" s="186" t="n">
        <f aca="false">IF(AND($F62="原始數據",$U62&lt;&gt;"連結 SRC"),1,0)</f>
        <v>0</v>
      </c>
      <c r="W62" s="186" t="n">
        <f aca="false">IF(AND($F62="Analogy",OR($H62="—",$H62="")),1,0)</f>
        <v>0</v>
      </c>
      <c r="X62" s="186" t="n">
        <f aca="false">IF(AND(OR($F62="Analogy",$F62="Assumed"),$G62&lt;&gt;"低",$G62&lt;&gt;"高",NOT(ISNUMBER($K62)),NOT(ISNUMBER($L62)),OR($M62="—",$M62="")),1,0)</f>
        <v>0</v>
      </c>
      <c r="Y62" s="186" t="n">
        <f aca="false">IF(AND(OR($F62="Analogy",$F62="Assumed",$F62="Derived（待改公式）",$F62="Derived（公式）"),OR($N62="—",$N62="",$N62=0)),1,0)</f>
        <v>0</v>
      </c>
      <c r="Z62" s="186" t="n">
        <f aca="false">IF(AND($F62="Decision",OR($J62="—",$J62="")),1,0)</f>
        <v>0</v>
      </c>
      <c r="AA62" s="183" t="n">
        <f aca="false">IF(OR($J62="—",$J62=""),0,IF(COUNTIF(Decisions!$A$5:$A$300,$J62)=0,1,0))</f>
        <v>0</v>
      </c>
      <c r="AB62" s="186" t="n">
        <f aca="false">IF(AND($F62="原始數據",$S62&lt;&gt;"Active"),1,0)</f>
        <v>0</v>
      </c>
      <c r="AC62" s="186" t="n">
        <f aca="false">IF(AND(ISNUMBER($K62),ISNUMBER($L62),ISNUMBER($Q62)),IF(OR($Q62&lt;MIN($K62,$L62),$Q62&gt;MAX($K62,$L62)),1,0),0)</f>
        <v>0</v>
      </c>
      <c r="AD62" s="186" t="n">
        <f aca="false">IF(AND(ISNUMBER($T62),$P62="高"),IF($T62=3,1,0),0)</f>
        <v>0</v>
      </c>
      <c r="AE62" s="186" t="n">
        <f aca="false">IF($S62="不存在",1,0)</f>
        <v>0</v>
      </c>
      <c r="AF62" s="35" t="n">
        <f aca="false">IF(OR($H62="—",$H62=""),"—",MATCH($H62,IDX_SrcID,0))</f>
        <v>121</v>
      </c>
      <c r="AG62" s="104" t="n">
        <f aca="false">IF(AND($P62="高",OR($AD62=1,$X62=1)),1,0)</f>
        <v>0</v>
      </c>
      <c r="AH62" s="104" t="n">
        <f aca="false">IF(AND($P62="高",$AG62=0,OR($F62&lt;&gt;"原始數據",$T62&lt;&gt;1)),1,0)</f>
        <v>1</v>
      </c>
      <c r="AI62" s="53" t="str">
        <f aca="false">IF(AND($P62="高",ISNUMBER($AF62)),INDEX(IDX_SrcDate,$AF62),"—")</f>
        <v>—</v>
      </c>
      <c r="AJ62" s="104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6" t="s">
        <v>3319</v>
      </c>
      <c r="B63" s="215" t="s">
        <v>3183</v>
      </c>
      <c r="C63" s="36" t="s">
        <v>3184</v>
      </c>
      <c r="D63" s="36" t="s">
        <v>3320</v>
      </c>
      <c r="E63" s="6" t="s">
        <v>113</v>
      </c>
      <c r="F63" s="215" t="s">
        <v>298</v>
      </c>
      <c r="G63" s="215" t="s">
        <v>3185</v>
      </c>
      <c r="H63" s="36" t="s">
        <v>3316</v>
      </c>
      <c r="I63" s="19" t="s">
        <v>3220</v>
      </c>
      <c r="J63" s="36" t="s">
        <v>3317</v>
      </c>
      <c r="K63" s="215"/>
      <c r="L63" s="215"/>
      <c r="M63" s="36" t="s">
        <v>587</v>
      </c>
      <c r="N63" s="19" t="s">
        <v>3318</v>
      </c>
      <c r="O63" s="6" t="s">
        <v>587</v>
      </c>
      <c r="P63" s="215" t="s">
        <v>1116</v>
      </c>
      <c r="Q63" s="41" t="n">
        <f aca="false">Inputs!E23</f>
        <v>6</v>
      </c>
      <c r="R63" s="185" t="n">
        <f aca="false">SRC_DC_007</f>
        <v>6</v>
      </c>
      <c r="S63" s="35" t="str">
        <f aca="false">IF(ISNUMBER($AF63),INDEX(IDX_SrcStat,$AF63),"—")</f>
        <v>Active</v>
      </c>
      <c r="T63" s="35" t="n">
        <f aca="false">IF(ISNUMBER($AF63),INDEX(IDX_SrcGrade,$AF63),"—")</f>
        <v>2</v>
      </c>
      <c r="U63" s="35" t="s">
        <v>3222</v>
      </c>
      <c r="V63" s="186" t="n">
        <f aca="false">IF(AND($F63="原始數據",$U63&lt;&gt;"連結 SRC"),1,0)</f>
        <v>0</v>
      </c>
      <c r="W63" s="186" t="n">
        <f aca="false">IF(AND($F63="Analogy",OR($H63="—",$H63="")),1,0)</f>
        <v>0</v>
      </c>
      <c r="X63" s="186" t="n">
        <f aca="false">IF(AND(OR($F63="Analogy",$F63="Assumed"),$G63&lt;&gt;"低",$G63&lt;&gt;"高",NOT(ISNUMBER($K63)),NOT(ISNUMBER($L63)),OR($M63="—",$M63="")),1,0)</f>
        <v>0</v>
      </c>
      <c r="Y63" s="186" t="n">
        <f aca="false">IF(AND(OR($F63="Analogy",$F63="Assumed",$F63="Derived（待改公式）",$F63="Derived（公式）"),OR($N63="—",$N63="",$N63=0)),1,0)</f>
        <v>0</v>
      </c>
      <c r="Z63" s="186" t="n">
        <f aca="false">IF(AND($F63="Decision",OR($J63="—",$J63="")),1,0)</f>
        <v>0</v>
      </c>
      <c r="AA63" s="183" t="n">
        <f aca="false">IF(OR($J63="—",$J63=""),0,IF(COUNTIF(Decisions!$A$5:$A$300,$J63)=0,1,0))</f>
        <v>0</v>
      </c>
      <c r="AB63" s="186" t="n">
        <f aca="false">IF(AND($F63="原始數據",$S63&lt;&gt;"Active"),1,0)</f>
        <v>0</v>
      </c>
      <c r="AC63" s="186" t="n">
        <f aca="false">IF(AND(ISNUMBER($K63),ISNUMBER($L63),ISNUMBER($Q63)),IF(OR($Q63&lt;MIN($K63,$L63),$Q63&gt;MAX($K63,$L63)),1,0),0)</f>
        <v>0</v>
      </c>
      <c r="AD63" s="186" t="n">
        <f aca="false">IF(AND(ISNUMBER($T63),$P63="高"),IF($T63=3,1,0),0)</f>
        <v>0</v>
      </c>
      <c r="AE63" s="186" t="n">
        <f aca="false">IF($S63="不存在",1,0)</f>
        <v>0</v>
      </c>
      <c r="AF63" s="35" t="n">
        <f aca="false">IF(OR($H63="—",$H63=""),"—",MATCH($H63,IDX_SrcID,0))</f>
        <v>121</v>
      </c>
      <c r="AG63" s="104" t="n">
        <f aca="false">IF(AND($P63="高",OR($AD63=1,$X63=1)),1,0)</f>
        <v>0</v>
      </c>
      <c r="AH63" s="104" t="n">
        <f aca="false">IF(AND($P63="高",$AG63=0,OR($F63&lt;&gt;"原始數據",$T63&lt;&gt;1)),1,0)</f>
        <v>1</v>
      </c>
      <c r="AI63" s="53" t="str">
        <f aca="false">IF(AND($P63="高",ISNUMBER($AF63)),INDEX(IDX_SrcDate,$AF63),"—")</f>
        <v>—</v>
      </c>
      <c r="AJ63" s="104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6" t="s">
        <v>3321</v>
      </c>
      <c r="B64" s="215" t="s">
        <v>3183</v>
      </c>
      <c r="C64" s="36" t="s">
        <v>3184</v>
      </c>
      <c r="D64" s="36" t="s">
        <v>3322</v>
      </c>
      <c r="E64" s="6" t="s">
        <v>113</v>
      </c>
      <c r="F64" s="215" t="s">
        <v>298</v>
      </c>
      <c r="G64" s="215" t="s">
        <v>3185</v>
      </c>
      <c r="H64" s="36" t="s">
        <v>3323</v>
      </c>
      <c r="I64" s="19" t="s">
        <v>3220</v>
      </c>
      <c r="J64" s="36" t="s">
        <v>3317</v>
      </c>
      <c r="K64" s="215"/>
      <c r="L64" s="215"/>
      <c r="M64" s="36" t="s">
        <v>587</v>
      </c>
      <c r="N64" s="19" t="s">
        <v>3318</v>
      </c>
      <c r="O64" s="6" t="s">
        <v>587</v>
      </c>
      <c r="P64" s="215" t="s">
        <v>1116</v>
      </c>
      <c r="Q64" s="41" t="n">
        <f aca="false">Inputs!F23</f>
        <v>4</v>
      </c>
      <c r="R64" s="185" t="n">
        <f aca="false">SRC_DC_008</f>
        <v>4</v>
      </c>
      <c r="S64" s="35" t="str">
        <f aca="false">IF(ISNUMBER($AF64),INDEX(IDX_SrcStat,$AF64),"—")</f>
        <v>Active</v>
      </c>
      <c r="T64" s="35" t="n">
        <f aca="false">IF(ISNUMBER($AF64),INDEX(IDX_SrcGrade,$AF64),"—")</f>
        <v>2</v>
      </c>
      <c r="U64" s="35" t="s">
        <v>3222</v>
      </c>
      <c r="V64" s="186" t="n">
        <f aca="false">IF(AND($F64="原始數據",$U64&lt;&gt;"連結 SRC"),1,0)</f>
        <v>0</v>
      </c>
      <c r="W64" s="186" t="n">
        <f aca="false">IF(AND($F64="Analogy",OR($H64="—",$H64="")),1,0)</f>
        <v>0</v>
      </c>
      <c r="X64" s="186" t="n">
        <f aca="false">IF(AND(OR($F64="Analogy",$F64="Assumed"),$G64&lt;&gt;"低",$G64&lt;&gt;"高",NOT(ISNUMBER($K64)),NOT(ISNUMBER($L64)),OR($M64="—",$M64="")),1,0)</f>
        <v>0</v>
      </c>
      <c r="Y64" s="186" t="n">
        <f aca="false">IF(AND(OR($F64="Analogy",$F64="Assumed",$F64="Derived（待改公式）",$F64="Derived（公式）"),OR($N64="—",$N64="",$N64=0)),1,0)</f>
        <v>0</v>
      </c>
      <c r="Z64" s="186" t="n">
        <f aca="false">IF(AND($F64="Decision",OR($J64="—",$J64="")),1,0)</f>
        <v>0</v>
      </c>
      <c r="AA64" s="183" t="n">
        <f aca="false">IF(OR($J64="—",$J64=""),0,IF(COUNTIF(Decisions!$A$5:$A$300,$J64)=0,1,0))</f>
        <v>0</v>
      </c>
      <c r="AB64" s="186" t="n">
        <f aca="false">IF(AND($F64="原始數據",$S64&lt;&gt;"Active"),1,0)</f>
        <v>0</v>
      </c>
      <c r="AC64" s="186" t="n">
        <f aca="false">IF(AND(ISNUMBER($K64),ISNUMBER($L64),ISNUMBER($Q64)),IF(OR($Q64&lt;MIN($K64,$L64),$Q64&gt;MAX($K64,$L64)),1,0),0)</f>
        <v>0</v>
      </c>
      <c r="AD64" s="186" t="n">
        <f aca="false">IF(AND(ISNUMBER($T64),$P64="高"),IF($T64=3,1,0),0)</f>
        <v>0</v>
      </c>
      <c r="AE64" s="186" t="n">
        <f aca="false">IF($S64="不存在",1,0)</f>
        <v>0</v>
      </c>
      <c r="AF64" s="35" t="n">
        <f aca="false">IF(OR($H64="—",$H64=""),"—",MATCH($H64,IDX_SrcID,0))</f>
        <v>122</v>
      </c>
      <c r="AG64" s="104" t="n">
        <f aca="false">IF(AND($P64="高",OR($AD64=1,$X64=1)),1,0)</f>
        <v>0</v>
      </c>
      <c r="AH64" s="104" t="n">
        <f aca="false">IF(AND($P64="高",$AG64=0,OR($F64&lt;&gt;"原始數據",$T64&lt;&gt;1)),1,0)</f>
        <v>1</v>
      </c>
      <c r="AI64" s="53" t="str">
        <f aca="false">IF(AND($P64="高",ISNUMBER($AF64)),INDEX(IDX_SrcDate,$AF64),"—")</f>
        <v>—</v>
      </c>
      <c r="AJ64" s="104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6" t="s">
        <v>3324</v>
      </c>
      <c r="B65" s="215" t="s">
        <v>3183</v>
      </c>
      <c r="C65" s="36" t="s">
        <v>3184</v>
      </c>
      <c r="D65" s="36" t="s">
        <v>3325</v>
      </c>
      <c r="E65" s="19" t="s">
        <v>117</v>
      </c>
      <c r="F65" s="36" t="s">
        <v>80</v>
      </c>
      <c r="G65" s="215" t="s">
        <v>65</v>
      </c>
      <c r="H65" s="36" t="s">
        <v>587</v>
      </c>
      <c r="I65" s="6" t="s">
        <v>587</v>
      </c>
      <c r="J65" s="36" t="s">
        <v>587</v>
      </c>
      <c r="K65" s="217" t="n">
        <v>25</v>
      </c>
      <c r="L65" s="217" t="n">
        <v>40</v>
      </c>
      <c r="M65" s="36" t="s">
        <v>3326</v>
      </c>
      <c r="N65" s="19" t="s">
        <v>3327</v>
      </c>
      <c r="O65" s="6" t="s">
        <v>3278</v>
      </c>
      <c r="P65" s="215" t="s">
        <v>1115</v>
      </c>
      <c r="Q65" s="41" t="n">
        <f aca="false">Inputs!E24</f>
        <v>30</v>
      </c>
      <c r="R65" s="36" t="s">
        <v>587</v>
      </c>
      <c r="S65" s="35" t="str">
        <f aca="false">IF(ISNUMBER($AF65),INDEX(IDX_SrcStat,$AF65),"—")</f>
        <v>—</v>
      </c>
      <c r="T65" s="35" t="str">
        <f aca="false">IF(ISNUMBER($AF65),INDEX(IDX_SrcGrade,$AF65),"—")</f>
        <v>—</v>
      </c>
      <c r="U65" s="35" t="s">
        <v>3189</v>
      </c>
      <c r="V65" s="186" t="n">
        <f aca="false">IF(AND($F65="原始數據",$U65&lt;&gt;"連結 SRC"),1,0)</f>
        <v>0</v>
      </c>
      <c r="W65" s="186" t="n">
        <f aca="false">IF(AND($F65="Analogy",OR($H65="—",$H65="")),1,0)</f>
        <v>0</v>
      </c>
      <c r="X65" s="186" t="n">
        <f aca="false">IF(AND(OR($F65="Analogy",$F65="Assumed"),$G65&lt;&gt;"低",$G65&lt;&gt;"高",NOT(ISNUMBER($K65)),NOT(ISNUMBER($L65)),OR($M65="—",$M65="")),1,0)</f>
        <v>0</v>
      </c>
      <c r="Y65" s="186" t="n">
        <f aca="false">IF(AND(OR($F65="Analogy",$F65="Assumed",$F65="Derived（待改公式）",$F65="Derived（公式）"),OR($N65="—",$N65="",$N65=0)),1,0)</f>
        <v>0</v>
      </c>
      <c r="Z65" s="186" t="n">
        <f aca="false">IF(AND($F65="Decision",OR($J65="—",$J65="")),1,0)</f>
        <v>0</v>
      </c>
      <c r="AA65" s="183" t="n">
        <f aca="false">IF(OR($J65="—",$J65=""),0,IF(COUNTIF(Decisions!$A$5:$A$300,$J65)=0,1,0))</f>
        <v>0</v>
      </c>
      <c r="AB65" s="186" t="n">
        <f aca="false">IF(AND($F65="原始數據",$S65&lt;&gt;"Active"),1,0)</f>
        <v>0</v>
      </c>
      <c r="AC65" s="186" t="n">
        <f aca="false">IF(AND(ISNUMBER($K65),ISNUMBER($L65),ISNUMBER($Q65)),IF(OR($Q65&lt;MIN($K65,$L65),$Q65&gt;MAX($K65,$L65)),1,0),0)</f>
        <v>0</v>
      </c>
      <c r="AD65" s="186" t="n">
        <f aca="false">IF(AND(ISNUMBER($T65),$P65="高"),IF($T65=3,1,0),0)</f>
        <v>0</v>
      </c>
      <c r="AE65" s="186" t="n">
        <f aca="false">IF($S65="不存在",1,0)</f>
        <v>0</v>
      </c>
      <c r="AF65" s="35" t="str">
        <f aca="false">IF(OR($H65="—",$H65=""),"—",MATCH($H65,IDX_SrcID,0))</f>
        <v>—</v>
      </c>
      <c r="AG65" s="104" t="n">
        <f aca="false">IF(AND($P65="高",OR($AD65=1,$X65=1)),1,0)</f>
        <v>0</v>
      </c>
      <c r="AH65" s="104" t="n">
        <f aca="false">IF(AND($P65="高",$AG65=0,OR($F65&lt;&gt;"原始數據",$T65&lt;&gt;1)),1,0)</f>
        <v>0</v>
      </c>
      <c r="AI65" s="53" t="str">
        <f aca="false">IF(AND($P65="高",ISNUMBER($AF65)),INDEX(IDX_SrcDate,$AF65),"—")</f>
        <v>—</v>
      </c>
      <c r="AJ65" s="104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6" t="s">
        <v>3328</v>
      </c>
      <c r="B66" s="215" t="s">
        <v>3183</v>
      </c>
      <c r="C66" s="36" t="s">
        <v>3184</v>
      </c>
      <c r="D66" s="36" t="s">
        <v>3329</v>
      </c>
      <c r="E66" s="19" t="s">
        <v>119</v>
      </c>
      <c r="F66" s="36" t="s">
        <v>80</v>
      </c>
      <c r="G66" s="215" t="s">
        <v>65</v>
      </c>
      <c r="H66" s="36" t="s">
        <v>587</v>
      </c>
      <c r="I66" s="6" t="s">
        <v>587</v>
      </c>
      <c r="J66" s="36" t="s">
        <v>587</v>
      </c>
      <c r="K66" s="217" t="n">
        <v>15</v>
      </c>
      <c r="L66" s="217" t="n">
        <v>25</v>
      </c>
      <c r="M66" s="36" t="s">
        <v>3330</v>
      </c>
      <c r="N66" s="19" t="s">
        <v>3331</v>
      </c>
      <c r="O66" s="6" t="s">
        <v>3278</v>
      </c>
      <c r="P66" s="215" t="s">
        <v>1115</v>
      </c>
      <c r="Q66" s="41" t="n">
        <f aca="false">Inputs!E25</f>
        <v>20</v>
      </c>
      <c r="R66" s="36" t="s">
        <v>587</v>
      </c>
      <c r="S66" s="35" t="str">
        <f aca="false">IF(ISNUMBER($AF66),INDEX(IDX_SrcStat,$AF66),"—")</f>
        <v>—</v>
      </c>
      <c r="T66" s="35" t="str">
        <f aca="false">IF(ISNUMBER($AF66),INDEX(IDX_SrcGrade,$AF66),"—")</f>
        <v>—</v>
      </c>
      <c r="U66" s="35" t="s">
        <v>3189</v>
      </c>
      <c r="V66" s="186" t="n">
        <f aca="false">IF(AND($F66="原始數據",$U66&lt;&gt;"連結 SRC"),1,0)</f>
        <v>0</v>
      </c>
      <c r="W66" s="186" t="n">
        <f aca="false">IF(AND($F66="Analogy",OR($H66="—",$H66="")),1,0)</f>
        <v>0</v>
      </c>
      <c r="X66" s="186" t="n">
        <f aca="false">IF(AND(OR($F66="Analogy",$F66="Assumed"),$G66&lt;&gt;"低",$G66&lt;&gt;"高",NOT(ISNUMBER($K66)),NOT(ISNUMBER($L66)),OR($M66="—",$M66="")),1,0)</f>
        <v>0</v>
      </c>
      <c r="Y66" s="186" t="n">
        <f aca="false">IF(AND(OR($F66="Analogy",$F66="Assumed",$F66="Derived（待改公式）",$F66="Derived（公式）"),OR($N66="—",$N66="",$N66=0)),1,0)</f>
        <v>0</v>
      </c>
      <c r="Z66" s="186" t="n">
        <f aca="false">IF(AND($F66="Decision",OR($J66="—",$J66="")),1,0)</f>
        <v>0</v>
      </c>
      <c r="AA66" s="183" t="n">
        <f aca="false">IF(OR($J66="—",$J66=""),0,IF(COUNTIF(Decisions!$A$5:$A$300,$J66)=0,1,0))</f>
        <v>0</v>
      </c>
      <c r="AB66" s="186" t="n">
        <f aca="false">IF(AND($F66="原始數據",$S66&lt;&gt;"Active"),1,0)</f>
        <v>0</v>
      </c>
      <c r="AC66" s="186" t="n">
        <f aca="false">IF(AND(ISNUMBER($K66),ISNUMBER($L66),ISNUMBER($Q66)),IF(OR($Q66&lt;MIN($K66,$L66),$Q66&gt;MAX($K66,$L66)),1,0),0)</f>
        <v>0</v>
      </c>
      <c r="AD66" s="186" t="n">
        <f aca="false">IF(AND(ISNUMBER($T66),$P66="高"),IF($T66=3,1,0),0)</f>
        <v>0</v>
      </c>
      <c r="AE66" s="186" t="n">
        <f aca="false">IF($S66="不存在",1,0)</f>
        <v>0</v>
      </c>
      <c r="AF66" s="35" t="str">
        <f aca="false">IF(OR($H66="—",$H66=""),"—",MATCH($H66,IDX_SrcID,0))</f>
        <v>—</v>
      </c>
      <c r="AG66" s="104" t="n">
        <f aca="false">IF(AND($P66="高",OR($AD66=1,$X66=1)),1,0)</f>
        <v>0</v>
      </c>
      <c r="AH66" s="104" t="n">
        <f aca="false">IF(AND($P66="高",$AG66=0,OR($F66&lt;&gt;"原始數據",$T66&lt;&gt;1)),1,0)</f>
        <v>0</v>
      </c>
      <c r="AI66" s="53" t="str">
        <f aca="false">IF(AND($P66="高",ISNUMBER($AF66)),INDEX(IDX_SrcDate,$AF66),"—")</f>
        <v>—</v>
      </c>
      <c r="AJ66" s="104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6" t="s">
        <v>3332</v>
      </c>
      <c r="B67" s="215" t="s">
        <v>3183</v>
      </c>
      <c r="C67" s="36" t="s">
        <v>3184</v>
      </c>
      <c r="D67" s="36" t="s">
        <v>3333</v>
      </c>
      <c r="E67" s="19" t="s">
        <v>120</v>
      </c>
      <c r="F67" s="36" t="s">
        <v>80</v>
      </c>
      <c r="G67" s="215" t="s">
        <v>65</v>
      </c>
      <c r="H67" s="36" t="s">
        <v>587</v>
      </c>
      <c r="I67" s="6" t="s">
        <v>587</v>
      </c>
      <c r="J67" s="36" t="s">
        <v>587</v>
      </c>
      <c r="K67" s="217" t="n">
        <v>10</v>
      </c>
      <c r="L67" s="217" t="n">
        <v>20</v>
      </c>
      <c r="M67" s="36" t="s">
        <v>3334</v>
      </c>
      <c r="N67" s="19" t="s">
        <v>3335</v>
      </c>
      <c r="O67" s="6" t="s">
        <v>3278</v>
      </c>
      <c r="P67" s="215" t="s">
        <v>1115</v>
      </c>
      <c r="Q67" s="41" t="n">
        <f aca="false">Inputs!E26</f>
        <v>15</v>
      </c>
      <c r="R67" s="36" t="s">
        <v>587</v>
      </c>
      <c r="S67" s="35" t="str">
        <f aca="false">IF(ISNUMBER($AF67),INDEX(IDX_SrcStat,$AF67),"—")</f>
        <v>—</v>
      </c>
      <c r="T67" s="35" t="str">
        <f aca="false">IF(ISNUMBER($AF67),INDEX(IDX_SrcGrade,$AF67),"—")</f>
        <v>—</v>
      </c>
      <c r="U67" s="35" t="s">
        <v>3189</v>
      </c>
      <c r="V67" s="186" t="n">
        <f aca="false">IF(AND($F67="原始數據",$U67&lt;&gt;"連結 SRC"),1,0)</f>
        <v>0</v>
      </c>
      <c r="W67" s="186" t="n">
        <f aca="false">IF(AND($F67="Analogy",OR($H67="—",$H67="")),1,0)</f>
        <v>0</v>
      </c>
      <c r="X67" s="186" t="n">
        <f aca="false">IF(AND(OR($F67="Analogy",$F67="Assumed"),$G67&lt;&gt;"低",$G67&lt;&gt;"高",NOT(ISNUMBER($K67)),NOT(ISNUMBER($L67)),OR($M67="—",$M67="")),1,0)</f>
        <v>0</v>
      </c>
      <c r="Y67" s="186" t="n">
        <f aca="false">IF(AND(OR($F67="Analogy",$F67="Assumed",$F67="Derived（待改公式）",$F67="Derived（公式）"),OR($N67="—",$N67="",$N67=0)),1,0)</f>
        <v>0</v>
      </c>
      <c r="Z67" s="186" t="n">
        <f aca="false">IF(AND($F67="Decision",OR($J67="—",$J67="")),1,0)</f>
        <v>0</v>
      </c>
      <c r="AA67" s="183" t="n">
        <f aca="false">IF(OR($J67="—",$J67=""),0,IF(COUNTIF(Decisions!$A$5:$A$300,$J67)=0,1,0))</f>
        <v>0</v>
      </c>
      <c r="AB67" s="186" t="n">
        <f aca="false">IF(AND($F67="原始數據",$S67&lt;&gt;"Active"),1,0)</f>
        <v>0</v>
      </c>
      <c r="AC67" s="186" t="n">
        <f aca="false">IF(AND(ISNUMBER($K67),ISNUMBER($L67),ISNUMBER($Q67)),IF(OR($Q67&lt;MIN($K67,$L67),$Q67&gt;MAX($K67,$L67)),1,0),0)</f>
        <v>0</v>
      </c>
      <c r="AD67" s="186" t="n">
        <f aca="false">IF(AND(ISNUMBER($T67),$P67="高"),IF($T67=3,1,0),0)</f>
        <v>0</v>
      </c>
      <c r="AE67" s="186" t="n">
        <f aca="false">IF($S67="不存在",1,0)</f>
        <v>0</v>
      </c>
      <c r="AF67" s="35" t="str">
        <f aca="false">IF(OR($H67="—",$H67=""),"—",MATCH($H67,IDX_SrcID,0))</f>
        <v>—</v>
      </c>
      <c r="AG67" s="104" t="n">
        <f aca="false">IF(AND($P67="高",OR($AD67=1,$X67=1)),1,0)</f>
        <v>0</v>
      </c>
      <c r="AH67" s="104" t="n">
        <f aca="false">IF(AND($P67="高",$AG67=0,OR($F67&lt;&gt;"原始數據",$T67&lt;&gt;1)),1,0)</f>
        <v>0</v>
      </c>
      <c r="AI67" s="53" t="str">
        <f aca="false">IF(AND($P67="高",ISNUMBER($AF67)),INDEX(IDX_SrcDate,$AF67),"—")</f>
        <v>—</v>
      </c>
      <c r="AJ67" s="104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6" t="s">
        <v>3336</v>
      </c>
      <c r="B68" s="215" t="s">
        <v>3183</v>
      </c>
      <c r="C68" s="36" t="s">
        <v>3184</v>
      </c>
      <c r="D68" s="36" t="s">
        <v>3337</v>
      </c>
      <c r="E68" s="19" t="s">
        <v>121</v>
      </c>
      <c r="F68" s="36" t="s">
        <v>80</v>
      </c>
      <c r="G68" s="215" t="s">
        <v>65</v>
      </c>
      <c r="H68" s="36" t="s">
        <v>587</v>
      </c>
      <c r="I68" s="6" t="s">
        <v>587</v>
      </c>
      <c r="J68" s="36" t="s">
        <v>587</v>
      </c>
      <c r="K68" s="217" t="n">
        <v>7</v>
      </c>
      <c r="L68" s="217" t="n">
        <v>15</v>
      </c>
      <c r="M68" s="36" t="s">
        <v>3338</v>
      </c>
      <c r="N68" s="19" t="s">
        <v>3339</v>
      </c>
      <c r="O68" s="6" t="s">
        <v>3278</v>
      </c>
      <c r="P68" s="215" t="s">
        <v>1115</v>
      </c>
      <c r="Q68" s="41" t="n">
        <f aca="false">Inputs!E27</f>
        <v>10</v>
      </c>
      <c r="R68" s="36" t="s">
        <v>587</v>
      </c>
      <c r="S68" s="35" t="str">
        <f aca="false">IF(ISNUMBER($AF68),INDEX(IDX_SrcStat,$AF68),"—")</f>
        <v>—</v>
      </c>
      <c r="T68" s="35" t="str">
        <f aca="false">IF(ISNUMBER($AF68),INDEX(IDX_SrcGrade,$AF68),"—")</f>
        <v>—</v>
      </c>
      <c r="U68" s="35" t="s">
        <v>3189</v>
      </c>
      <c r="V68" s="186" t="n">
        <f aca="false">IF(AND($F68="原始數據",$U68&lt;&gt;"連結 SRC"),1,0)</f>
        <v>0</v>
      </c>
      <c r="W68" s="186" t="n">
        <f aca="false">IF(AND($F68="Analogy",OR($H68="—",$H68="")),1,0)</f>
        <v>0</v>
      </c>
      <c r="X68" s="186" t="n">
        <f aca="false">IF(AND(OR($F68="Analogy",$F68="Assumed"),$G68&lt;&gt;"低",$G68&lt;&gt;"高",NOT(ISNUMBER($K68)),NOT(ISNUMBER($L68)),OR($M68="—",$M68="")),1,0)</f>
        <v>0</v>
      </c>
      <c r="Y68" s="186" t="n">
        <f aca="false">IF(AND(OR($F68="Analogy",$F68="Assumed",$F68="Derived（待改公式）",$F68="Derived（公式）"),OR($N68="—",$N68="",$N68=0)),1,0)</f>
        <v>0</v>
      </c>
      <c r="Z68" s="186" t="n">
        <f aca="false">IF(AND($F68="Decision",OR($J68="—",$J68="")),1,0)</f>
        <v>0</v>
      </c>
      <c r="AA68" s="183" t="n">
        <f aca="false">IF(OR($J68="—",$J68=""),0,IF(COUNTIF(Decisions!$A$5:$A$300,$J68)=0,1,0))</f>
        <v>0</v>
      </c>
      <c r="AB68" s="186" t="n">
        <f aca="false">IF(AND($F68="原始數據",$S68&lt;&gt;"Active"),1,0)</f>
        <v>0</v>
      </c>
      <c r="AC68" s="186" t="n">
        <f aca="false">IF(AND(ISNUMBER($K68),ISNUMBER($L68),ISNUMBER($Q68)),IF(OR($Q68&lt;MIN($K68,$L68),$Q68&gt;MAX($K68,$L68)),1,0),0)</f>
        <v>0</v>
      </c>
      <c r="AD68" s="186" t="n">
        <f aca="false">IF(AND(ISNUMBER($T68),$P68="高"),IF($T68=3,1,0),0)</f>
        <v>0</v>
      </c>
      <c r="AE68" s="186" t="n">
        <f aca="false">IF($S68="不存在",1,0)</f>
        <v>0</v>
      </c>
      <c r="AF68" s="35" t="str">
        <f aca="false">IF(OR($H68="—",$H68=""),"—",MATCH($H68,IDX_SrcID,0))</f>
        <v>—</v>
      </c>
      <c r="AG68" s="104" t="n">
        <f aca="false">IF(AND($P68="高",OR($AD68=1,$X68=1)),1,0)</f>
        <v>0</v>
      </c>
      <c r="AH68" s="104" t="n">
        <f aca="false">IF(AND($P68="高",$AG68=0,OR($F68&lt;&gt;"原始數據",$T68&lt;&gt;1)),1,0)</f>
        <v>0</v>
      </c>
      <c r="AI68" s="53" t="str">
        <f aca="false">IF(AND($P68="高",ISNUMBER($AF68)),INDEX(IDX_SrcDate,$AF68),"—")</f>
        <v>—</v>
      </c>
      <c r="AJ68" s="104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6" t="s">
        <v>3340</v>
      </c>
      <c r="B69" s="215" t="s">
        <v>3183</v>
      </c>
      <c r="C69" s="36" t="s">
        <v>3341</v>
      </c>
      <c r="D69" s="36" t="s">
        <v>3342</v>
      </c>
      <c r="E69" s="6" t="s">
        <v>157</v>
      </c>
      <c r="F69" s="36" t="s">
        <v>72</v>
      </c>
      <c r="G69" s="215" t="s">
        <v>3185</v>
      </c>
      <c r="H69" s="36" t="s">
        <v>587</v>
      </c>
      <c r="I69" s="6" t="s">
        <v>587</v>
      </c>
      <c r="J69" s="36" t="s">
        <v>3343</v>
      </c>
      <c r="K69" s="215"/>
      <c r="L69" s="215"/>
      <c r="M69" s="36" t="s">
        <v>587</v>
      </c>
      <c r="N69" s="6" t="s">
        <v>3344</v>
      </c>
      <c r="O69" s="6" t="s">
        <v>587</v>
      </c>
      <c r="P69" s="215" t="s">
        <v>1116</v>
      </c>
      <c r="Q69" s="41" t="n">
        <f aca="false">Spec_Rack!C6</f>
        <v>32</v>
      </c>
      <c r="R69" s="36" t="s">
        <v>587</v>
      </c>
      <c r="S69" s="35" t="str">
        <f aca="false">IF(ISNUMBER($AF69),INDEX(IDX_SrcStat,$AF69),"—")</f>
        <v>—</v>
      </c>
      <c r="T69" s="35" t="str">
        <f aca="false">IF(ISNUMBER($AF69),INDEX(IDX_SrcGrade,$AF69),"—")</f>
        <v>—</v>
      </c>
      <c r="U69" s="35" t="s">
        <v>3189</v>
      </c>
      <c r="V69" s="186" t="n">
        <f aca="false">IF(AND($F69="原始數據",$U69&lt;&gt;"連結 SRC"),1,0)</f>
        <v>0</v>
      </c>
      <c r="W69" s="186" t="n">
        <f aca="false">IF(AND($F69="Analogy",OR($H69="—",$H69="")),1,0)</f>
        <v>0</v>
      </c>
      <c r="X69" s="186" t="n">
        <f aca="false">IF(AND(OR($F69="Analogy",$F69="Assumed"),$G69&lt;&gt;"低",$G69&lt;&gt;"高",NOT(ISNUMBER($K69)),NOT(ISNUMBER($L69)),OR($M69="—",$M69="")),1,0)</f>
        <v>0</v>
      </c>
      <c r="Y69" s="186" t="n">
        <f aca="false">IF(AND(OR($F69="Analogy",$F69="Assumed",$F69="Derived（待改公式）",$F69="Derived（公式）"),OR($N69="—",$N69="",$N69=0)),1,0)</f>
        <v>0</v>
      </c>
      <c r="Z69" s="186" t="n">
        <f aca="false">IF(AND($F69="Decision",OR($J69="—",$J69="")),1,0)</f>
        <v>0</v>
      </c>
      <c r="AA69" s="183" t="n">
        <f aca="false">IF(OR($J69="—",$J69=""),0,IF(COUNTIF(Decisions!$A$5:$A$300,$J69)=0,1,0))</f>
        <v>0</v>
      </c>
      <c r="AB69" s="186" t="n">
        <f aca="false">IF(AND($F69="原始數據",$S69&lt;&gt;"Active"),1,0)</f>
        <v>0</v>
      </c>
      <c r="AC69" s="186" t="n">
        <f aca="false">IF(AND(ISNUMBER($K69),ISNUMBER($L69),ISNUMBER($Q69)),IF(OR($Q69&lt;MIN($K69,$L69),$Q69&gt;MAX($K69,$L69)),1,0),0)</f>
        <v>0</v>
      </c>
      <c r="AD69" s="186" t="n">
        <f aca="false">IF(AND(ISNUMBER($T69),$P69="高"),IF($T69=3,1,0),0)</f>
        <v>0</v>
      </c>
      <c r="AE69" s="186" t="n">
        <f aca="false">IF($S69="不存在",1,0)</f>
        <v>0</v>
      </c>
      <c r="AF69" s="35" t="str">
        <f aca="false">IF(OR($H69="—",$H69=""),"—",MATCH($H69,IDX_SrcID,0))</f>
        <v>—</v>
      </c>
      <c r="AG69" s="104" t="n">
        <f aca="false">IF(AND($P69="高",OR($AD69=1,$X69=1)),1,0)</f>
        <v>0</v>
      </c>
      <c r="AH69" s="104" t="n">
        <f aca="false">IF(AND($P69="高",$AG69=0,OR($F69&lt;&gt;"原始數據",$T69&lt;&gt;1)),1,0)</f>
        <v>1</v>
      </c>
      <c r="AI69" s="53" t="str">
        <f aca="false">IF(AND($P69="高",ISNUMBER($AF69)),INDEX(IDX_SrcDate,$AF69),"—")</f>
        <v>—</v>
      </c>
      <c r="AJ69" s="104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6" t="s">
        <v>3345</v>
      </c>
      <c r="B70" s="215" t="s">
        <v>3183</v>
      </c>
      <c r="C70" s="36" t="s">
        <v>3341</v>
      </c>
      <c r="D70" s="36" t="s">
        <v>3346</v>
      </c>
      <c r="E70" s="6" t="s">
        <v>157</v>
      </c>
      <c r="F70" s="215" t="s">
        <v>298</v>
      </c>
      <c r="G70" s="215" t="s">
        <v>3185</v>
      </c>
      <c r="H70" s="36" t="s">
        <v>3347</v>
      </c>
      <c r="I70" s="19" t="s">
        <v>3220</v>
      </c>
      <c r="J70" s="36" t="s">
        <v>587</v>
      </c>
      <c r="K70" s="215"/>
      <c r="L70" s="215"/>
      <c r="M70" s="36" t="s">
        <v>587</v>
      </c>
      <c r="N70" s="19" t="s">
        <v>3318</v>
      </c>
      <c r="O70" s="6" t="s">
        <v>587</v>
      </c>
      <c r="P70" s="215" t="s">
        <v>1116</v>
      </c>
      <c r="Q70" s="41" t="n">
        <f aca="false">Spec_Rack!D6</f>
        <v>72</v>
      </c>
      <c r="R70" s="185" t="n">
        <f aca="false">SRC_HW_047</f>
        <v>72</v>
      </c>
      <c r="S70" s="35" t="str">
        <f aca="false">IF(ISNUMBER($AF70),INDEX(IDX_SrcStat,$AF70),"—")</f>
        <v>Active</v>
      </c>
      <c r="T70" s="35" t="n">
        <f aca="false">IF(ISNUMBER($AF70),INDEX(IDX_SrcGrade,$AF70),"—")</f>
        <v>1</v>
      </c>
      <c r="U70" s="35" t="s">
        <v>3222</v>
      </c>
      <c r="V70" s="186" t="n">
        <f aca="false">IF(AND($F70="原始數據",$U70&lt;&gt;"連結 SRC"),1,0)</f>
        <v>0</v>
      </c>
      <c r="W70" s="186" t="n">
        <f aca="false">IF(AND($F70="Analogy",OR($H70="—",$H70="")),1,0)</f>
        <v>0</v>
      </c>
      <c r="X70" s="186" t="n">
        <f aca="false">IF(AND(OR($F70="Analogy",$F70="Assumed"),$G70&lt;&gt;"低",$G70&lt;&gt;"高",NOT(ISNUMBER($K70)),NOT(ISNUMBER($L70)),OR($M70="—",$M70="")),1,0)</f>
        <v>0</v>
      </c>
      <c r="Y70" s="186" t="n">
        <f aca="false">IF(AND(OR($F70="Analogy",$F70="Assumed",$F70="Derived（待改公式）",$F70="Derived（公式）"),OR($N70="—",$N70="",$N70=0)),1,0)</f>
        <v>0</v>
      </c>
      <c r="Z70" s="186" t="n">
        <f aca="false">IF(AND($F70="Decision",OR($J70="—",$J70="")),1,0)</f>
        <v>0</v>
      </c>
      <c r="AA70" s="183" t="n">
        <f aca="false">IF(OR($J70="—",$J70=""),0,IF(COUNTIF(Decisions!$A$5:$A$300,$J70)=0,1,0))</f>
        <v>0</v>
      </c>
      <c r="AB70" s="186" t="n">
        <f aca="false">IF(AND($F70="原始數據",$S70&lt;&gt;"Active"),1,0)</f>
        <v>0</v>
      </c>
      <c r="AC70" s="186" t="n">
        <f aca="false">IF(AND(ISNUMBER($K70),ISNUMBER($L70),ISNUMBER($Q70)),IF(OR($Q70&lt;MIN($K70,$L70),$Q70&gt;MAX($K70,$L70)),1,0),0)</f>
        <v>0</v>
      </c>
      <c r="AD70" s="186" t="n">
        <f aca="false">IF(AND(ISNUMBER($T70),$P70="高"),IF($T70=3,1,0),0)</f>
        <v>0</v>
      </c>
      <c r="AE70" s="186" t="n">
        <f aca="false">IF($S70="不存在",1,0)</f>
        <v>0</v>
      </c>
      <c r="AF70" s="35" t="n">
        <f aca="false">IF(OR($H70="—",$H70=""),"—",MATCH($H70,IDX_SrcID,0))</f>
        <v>47</v>
      </c>
      <c r="AG70" s="104" t="n">
        <f aca="false">IF(AND($P70="高",OR($AD70=1,$X70=1)),1,0)</f>
        <v>0</v>
      </c>
      <c r="AH70" s="104" t="n">
        <f aca="false">IF(AND($P70="高",$AG70=0,OR($F70&lt;&gt;"原始數據",$T70&lt;&gt;1)),1,0)</f>
        <v>0</v>
      </c>
      <c r="AI70" s="53" t="str">
        <f aca="false">IF(AND($P70="高",ISNUMBER($AF70)),INDEX(IDX_SrcDate,$AF70),"—")</f>
        <v>2026-10-05</v>
      </c>
      <c r="AJ70" s="104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6" t="s">
        <v>3348</v>
      </c>
      <c r="B71" s="215" t="s">
        <v>3183</v>
      </c>
      <c r="C71" s="36" t="s">
        <v>3341</v>
      </c>
      <c r="D71" s="36" t="s">
        <v>3057</v>
      </c>
      <c r="E71" s="6" t="s">
        <v>157</v>
      </c>
      <c r="F71" s="215" t="s">
        <v>298</v>
      </c>
      <c r="G71" s="215" t="s">
        <v>3185</v>
      </c>
      <c r="H71" s="36" t="s">
        <v>3347</v>
      </c>
      <c r="I71" s="19" t="s">
        <v>3220</v>
      </c>
      <c r="J71" s="36" t="s">
        <v>587</v>
      </c>
      <c r="K71" s="215"/>
      <c r="L71" s="215"/>
      <c r="M71" s="36" t="s">
        <v>587</v>
      </c>
      <c r="N71" s="19" t="s">
        <v>3318</v>
      </c>
      <c r="O71" s="6" t="s">
        <v>587</v>
      </c>
      <c r="P71" s="215" t="s">
        <v>1116</v>
      </c>
      <c r="Q71" s="41" t="n">
        <f aca="false">Spec_Rack!E6</f>
        <v>72</v>
      </c>
      <c r="R71" s="185" t="n">
        <f aca="false">SRC_HW_047</f>
        <v>72</v>
      </c>
      <c r="S71" s="35" t="str">
        <f aca="false">IF(ISNUMBER($AF71),INDEX(IDX_SrcStat,$AF71),"—")</f>
        <v>Active</v>
      </c>
      <c r="T71" s="35" t="n">
        <f aca="false">IF(ISNUMBER($AF71),INDEX(IDX_SrcGrade,$AF71),"—")</f>
        <v>1</v>
      </c>
      <c r="U71" s="35" t="s">
        <v>3222</v>
      </c>
      <c r="V71" s="186" t="n">
        <f aca="false">IF(AND($F71="原始數據",$U71&lt;&gt;"連結 SRC"),1,0)</f>
        <v>0</v>
      </c>
      <c r="W71" s="186" t="n">
        <f aca="false">IF(AND($F71="Analogy",OR($H71="—",$H71="")),1,0)</f>
        <v>0</v>
      </c>
      <c r="X71" s="186" t="n">
        <f aca="false">IF(AND(OR($F71="Analogy",$F71="Assumed"),$G71&lt;&gt;"低",$G71&lt;&gt;"高",NOT(ISNUMBER($K71)),NOT(ISNUMBER($L71)),OR($M71="—",$M71="")),1,0)</f>
        <v>0</v>
      </c>
      <c r="Y71" s="186" t="n">
        <f aca="false">IF(AND(OR($F71="Analogy",$F71="Assumed",$F71="Derived（待改公式）",$F71="Derived（公式）"),OR($N71="—",$N71="",$N71=0)),1,0)</f>
        <v>0</v>
      </c>
      <c r="Z71" s="186" t="n">
        <f aca="false">IF(AND($F71="Decision",OR($J71="—",$J71="")),1,0)</f>
        <v>0</v>
      </c>
      <c r="AA71" s="183" t="n">
        <f aca="false">IF(OR($J71="—",$J71=""),0,IF(COUNTIF(Decisions!$A$5:$A$300,$J71)=0,1,0))</f>
        <v>0</v>
      </c>
      <c r="AB71" s="186" t="n">
        <f aca="false">IF(AND($F71="原始數據",$S71&lt;&gt;"Active"),1,0)</f>
        <v>0</v>
      </c>
      <c r="AC71" s="186" t="n">
        <f aca="false">IF(AND(ISNUMBER($K71),ISNUMBER($L71),ISNUMBER($Q71)),IF(OR($Q71&lt;MIN($K71,$L71),$Q71&gt;MAX($K71,$L71)),1,0),0)</f>
        <v>0</v>
      </c>
      <c r="AD71" s="186" t="n">
        <f aca="false">IF(AND(ISNUMBER($T71),$P71="高"),IF($T71=3,1,0),0)</f>
        <v>0</v>
      </c>
      <c r="AE71" s="186" t="n">
        <f aca="false">IF($S71="不存在",1,0)</f>
        <v>0</v>
      </c>
      <c r="AF71" s="35" t="n">
        <f aca="false">IF(OR($H71="—",$H71=""),"—",MATCH($H71,IDX_SrcID,0))</f>
        <v>47</v>
      </c>
      <c r="AG71" s="104" t="n">
        <f aca="false">IF(AND($P71="高",OR($AD71=1,$X71=1)),1,0)</f>
        <v>0</v>
      </c>
      <c r="AH71" s="104" t="n">
        <f aca="false">IF(AND($P71="高",$AG71=0,OR($F71&lt;&gt;"原始數據",$T71&lt;&gt;1)),1,0)</f>
        <v>0</v>
      </c>
      <c r="AI71" s="53" t="str">
        <f aca="false">IF(AND($P71="高",ISNUMBER($AF71)),INDEX(IDX_SrcDate,$AF71),"—")</f>
        <v>2026-10-05</v>
      </c>
      <c r="AJ71" s="104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6" t="s">
        <v>3349</v>
      </c>
      <c r="B72" s="215" t="s">
        <v>3183</v>
      </c>
      <c r="C72" s="36" t="s">
        <v>3341</v>
      </c>
      <c r="D72" s="36" t="s">
        <v>3350</v>
      </c>
      <c r="E72" s="6" t="s">
        <v>157</v>
      </c>
      <c r="F72" s="215" t="s">
        <v>298</v>
      </c>
      <c r="G72" s="215" t="s">
        <v>3185</v>
      </c>
      <c r="H72" s="36" t="s">
        <v>3347</v>
      </c>
      <c r="I72" s="19" t="s">
        <v>3220</v>
      </c>
      <c r="J72" s="36" t="s">
        <v>587</v>
      </c>
      <c r="K72" s="215"/>
      <c r="L72" s="215"/>
      <c r="M72" s="36" t="s">
        <v>587</v>
      </c>
      <c r="N72" s="19" t="s">
        <v>3318</v>
      </c>
      <c r="O72" s="6" t="s">
        <v>587</v>
      </c>
      <c r="P72" s="215" t="s">
        <v>1116</v>
      </c>
      <c r="Q72" s="41" t="n">
        <f aca="false">Spec_Rack!F6</f>
        <v>72</v>
      </c>
      <c r="R72" s="185" t="n">
        <f aca="false">SRC_HW_047</f>
        <v>72</v>
      </c>
      <c r="S72" s="35" t="str">
        <f aca="false">IF(ISNUMBER($AF72),INDEX(IDX_SrcStat,$AF72),"—")</f>
        <v>Active</v>
      </c>
      <c r="T72" s="35" t="n">
        <f aca="false">IF(ISNUMBER($AF72),INDEX(IDX_SrcGrade,$AF72),"—")</f>
        <v>1</v>
      </c>
      <c r="U72" s="35" t="s">
        <v>3222</v>
      </c>
      <c r="V72" s="186" t="n">
        <f aca="false">IF(AND($F72="原始數據",$U72&lt;&gt;"連結 SRC"),1,0)</f>
        <v>0</v>
      </c>
      <c r="W72" s="186" t="n">
        <f aca="false">IF(AND($F72="Analogy",OR($H72="—",$H72="")),1,0)</f>
        <v>0</v>
      </c>
      <c r="X72" s="186" t="n">
        <f aca="false">IF(AND(OR($F72="Analogy",$F72="Assumed"),$G72&lt;&gt;"低",$G72&lt;&gt;"高",NOT(ISNUMBER($K72)),NOT(ISNUMBER($L72)),OR($M72="—",$M72="")),1,0)</f>
        <v>0</v>
      </c>
      <c r="Y72" s="186" t="n">
        <f aca="false">IF(AND(OR($F72="Analogy",$F72="Assumed",$F72="Derived（待改公式）",$F72="Derived（公式）"),OR($N72="—",$N72="",$N72=0)),1,0)</f>
        <v>0</v>
      </c>
      <c r="Z72" s="186" t="n">
        <f aca="false">IF(AND($F72="Decision",OR($J72="—",$J72="")),1,0)</f>
        <v>0</v>
      </c>
      <c r="AA72" s="183" t="n">
        <f aca="false">IF(OR($J72="—",$J72=""),0,IF(COUNTIF(Decisions!$A$5:$A$300,$J72)=0,1,0))</f>
        <v>0</v>
      </c>
      <c r="AB72" s="186" t="n">
        <f aca="false">IF(AND($F72="原始數據",$S72&lt;&gt;"Active"),1,0)</f>
        <v>0</v>
      </c>
      <c r="AC72" s="186" t="n">
        <f aca="false">IF(AND(ISNUMBER($K72),ISNUMBER($L72),ISNUMBER($Q72)),IF(OR($Q72&lt;MIN($K72,$L72),$Q72&gt;MAX($K72,$L72)),1,0),0)</f>
        <v>0</v>
      </c>
      <c r="AD72" s="186" t="n">
        <f aca="false">IF(AND(ISNUMBER($T72),$P72="高"),IF($T72=3,1,0),0)</f>
        <v>0</v>
      </c>
      <c r="AE72" s="186" t="n">
        <f aca="false">IF($S72="不存在",1,0)</f>
        <v>0</v>
      </c>
      <c r="AF72" s="35" t="n">
        <f aca="false">IF(OR($H72="—",$H72=""),"—",MATCH($H72,IDX_SrcID,0))</f>
        <v>47</v>
      </c>
      <c r="AG72" s="104" t="n">
        <f aca="false">IF(AND($P72="高",OR($AD72=1,$X72=1)),1,0)</f>
        <v>0</v>
      </c>
      <c r="AH72" s="104" t="n">
        <f aca="false">IF(AND($P72="高",$AG72=0,OR($F72&lt;&gt;"原始數據",$T72&lt;&gt;1)),1,0)</f>
        <v>0</v>
      </c>
      <c r="AI72" s="53" t="str">
        <f aca="false">IF(AND($P72="高",ISNUMBER($AF72)),INDEX(IDX_SrcDate,$AF72),"—")</f>
        <v>2026-10-05</v>
      </c>
      <c r="AJ72" s="104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6" t="s">
        <v>3351</v>
      </c>
      <c r="B73" s="215" t="s">
        <v>3183</v>
      </c>
      <c r="C73" s="36" t="s">
        <v>3341</v>
      </c>
      <c r="D73" s="36" t="s">
        <v>3352</v>
      </c>
      <c r="E73" s="6" t="s">
        <v>157</v>
      </c>
      <c r="F73" s="215" t="s">
        <v>298</v>
      </c>
      <c r="G73" s="215" t="s">
        <v>3185</v>
      </c>
      <c r="H73" s="36" t="s">
        <v>3353</v>
      </c>
      <c r="I73" s="19" t="s">
        <v>3220</v>
      </c>
      <c r="J73" s="36" t="s">
        <v>587</v>
      </c>
      <c r="K73" s="215"/>
      <c r="L73" s="215"/>
      <c r="M73" s="36" t="s">
        <v>587</v>
      </c>
      <c r="N73" s="19" t="s">
        <v>3318</v>
      </c>
      <c r="O73" s="6" t="s">
        <v>587</v>
      </c>
      <c r="P73" s="215" t="s">
        <v>1116</v>
      </c>
      <c r="Q73" s="41" t="n">
        <f aca="false">Spec_Rack!G6</f>
        <v>72</v>
      </c>
      <c r="R73" s="185" t="n">
        <f aca="false">SRC_HW_061</f>
        <v>72</v>
      </c>
      <c r="S73" s="35" t="str">
        <f aca="false">IF(ISNUMBER($AF73),INDEX(IDX_SrcStat,$AF73),"—")</f>
        <v>Active</v>
      </c>
      <c r="T73" s="35" t="n">
        <f aca="false">IF(ISNUMBER($AF73),INDEX(IDX_SrcGrade,$AF73),"—")</f>
        <v>1</v>
      </c>
      <c r="U73" s="35" t="s">
        <v>3222</v>
      </c>
      <c r="V73" s="186" t="n">
        <f aca="false">IF(AND($F73="原始數據",$U73&lt;&gt;"連結 SRC"),1,0)</f>
        <v>0</v>
      </c>
      <c r="W73" s="186" t="n">
        <f aca="false">IF(AND($F73="Analogy",OR($H73="—",$H73="")),1,0)</f>
        <v>0</v>
      </c>
      <c r="X73" s="186" t="n">
        <f aca="false">IF(AND(OR($F73="Analogy",$F73="Assumed"),$G73&lt;&gt;"低",$G73&lt;&gt;"高",NOT(ISNUMBER($K73)),NOT(ISNUMBER($L73)),OR($M73="—",$M73="")),1,0)</f>
        <v>0</v>
      </c>
      <c r="Y73" s="186" t="n">
        <f aca="false">IF(AND(OR($F73="Analogy",$F73="Assumed",$F73="Derived（待改公式）",$F73="Derived（公式）"),OR($N73="—",$N73="",$N73=0)),1,0)</f>
        <v>0</v>
      </c>
      <c r="Z73" s="186" t="n">
        <f aca="false">IF(AND($F73="Decision",OR($J73="—",$J73="")),1,0)</f>
        <v>0</v>
      </c>
      <c r="AA73" s="183" t="n">
        <f aca="false">IF(OR($J73="—",$J73=""),0,IF(COUNTIF(Decisions!$A$5:$A$300,$J73)=0,1,0))</f>
        <v>0</v>
      </c>
      <c r="AB73" s="186" t="n">
        <f aca="false">IF(AND($F73="原始數據",$S73&lt;&gt;"Active"),1,0)</f>
        <v>0</v>
      </c>
      <c r="AC73" s="186" t="n">
        <f aca="false">IF(AND(ISNUMBER($K73),ISNUMBER($L73),ISNUMBER($Q73)),IF(OR($Q73&lt;MIN($K73,$L73),$Q73&gt;MAX($K73,$L73)),1,0),0)</f>
        <v>0</v>
      </c>
      <c r="AD73" s="186" t="n">
        <f aca="false">IF(AND(ISNUMBER($T73),$P73="高"),IF($T73=3,1,0),0)</f>
        <v>0</v>
      </c>
      <c r="AE73" s="186" t="n">
        <f aca="false">IF($S73="不存在",1,0)</f>
        <v>0</v>
      </c>
      <c r="AF73" s="35" t="n">
        <f aca="false">IF(OR($H73="—",$H73=""),"—",MATCH($H73,IDX_SrcID,0))</f>
        <v>61</v>
      </c>
      <c r="AG73" s="104" t="n">
        <f aca="false">IF(AND($P73="高",OR($AD73=1,$X73=1)),1,0)</f>
        <v>0</v>
      </c>
      <c r="AH73" s="104" t="n">
        <f aca="false">IF(AND($P73="高",$AG73=0,OR($F73&lt;&gt;"原始數據",$T73&lt;&gt;1)),1,0)</f>
        <v>0</v>
      </c>
      <c r="AI73" s="53" t="str">
        <f aca="false">IF(AND($P73="高",ISNUMBER($AF73)),INDEX(IDX_SrcDate,$AF73),"—")</f>
        <v>—</v>
      </c>
      <c r="AJ73" s="104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6" t="s">
        <v>3354</v>
      </c>
      <c r="B74" s="215" t="s">
        <v>3183</v>
      </c>
      <c r="C74" s="36" t="s">
        <v>3341</v>
      </c>
      <c r="D74" s="36" t="s">
        <v>3355</v>
      </c>
      <c r="E74" s="19" t="s">
        <v>162</v>
      </c>
      <c r="F74" s="36" t="s">
        <v>80</v>
      </c>
      <c r="G74" s="215" t="s">
        <v>1115</v>
      </c>
      <c r="H74" s="36" t="s">
        <v>587</v>
      </c>
      <c r="I74" s="6" t="s">
        <v>587</v>
      </c>
      <c r="J74" s="36" t="s">
        <v>587</v>
      </c>
      <c r="K74" s="215"/>
      <c r="L74" s="215"/>
      <c r="M74" s="36" t="s">
        <v>587</v>
      </c>
      <c r="N74" s="6" t="s">
        <v>3356</v>
      </c>
      <c r="O74" s="6" t="s">
        <v>587</v>
      </c>
      <c r="P74" s="215" t="s">
        <v>3188</v>
      </c>
      <c r="Q74" s="41" t="n">
        <f aca="false">Spec_Rack!C8</f>
        <v>38</v>
      </c>
      <c r="R74" s="36" t="s">
        <v>587</v>
      </c>
      <c r="S74" s="35" t="str">
        <f aca="false">IF(ISNUMBER($AF74),INDEX(IDX_SrcStat,$AF74),"—")</f>
        <v>—</v>
      </c>
      <c r="T74" s="35" t="str">
        <f aca="false">IF(ISNUMBER($AF74),INDEX(IDX_SrcGrade,$AF74),"—")</f>
        <v>—</v>
      </c>
      <c r="U74" s="35" t="s">
        <v>3189</v>
      </c>
      <c r="V74" s="186" t="n">
        <f aca="false">IF(AND($F74="原始數據",$U74&lt;&gt;"連結 SRC"),1,0)</f>
        <v>0</v>
      </c>
      <c r="W74" s="186" t="n">
        <f aca="false">IF(AND($F74="Analogy",OR($H74="—",$H74="")),1,0)</f>
        <v>0</v>
      </c>
      <c r="X74" s="186" t="n">
        <f aca="false">IF(AND(OR($F74="Analogy",$F74="Assumed"),$G74&lt;&gt;"低",$G74&lt;&gt;"高",NOT(ISNUMBER($K74)),NOT(ISNUMBER($L74)),OR($M74="—",$M74="")),1,0)</f>
        <v>0</v>
      </c>
      <c r="Y74" s="186" t="n">
        <f aca="false">IF(AND(OR($F74="Analogy",$F74="Assumed",$F74="Derived（待改公式）",$F74="Derived（公式）"),OR($N74="—",$N74="",$N74=0)),1,0)</f>
        <v>0</v>
      </c>
      <c r="Z74" s="186" t="n">
        <f aca="false">IF(AND($F74="Decision",OR($J74="—",$J74="")),1,0)</f>
        <v>0</v>
      </c>
      <c r="AA74" s="183" t="n">
        <f aca="false">IF(OR($J74="—",$J74=""),0,IF(COUNTIF(Decisions!$A$5:$A$300,$J74)=0,1,0))</f>
        <v>0</v>
      </c>
      <c r="AB74" s="186" t="n">
        <f aca="false">IF(AND($F74="原始數據",$S74&lt;&gt;"Active"),1,0)</f>
        <v>0</v>
      </c>
      <c r="AC74" s="186" t="n">
        <f aca="false">IF(AND(ISNUMBER($K74),ISNUMBER($L74),ISNUMBER($Q74)),IF(OR($Q74&lt;MIN($K74,$L74),$Q74&gt;MAX($K74,$L74)),1,0),0)</f>
        <v>0</v>
      </c>
      <c r="AD74" s="186" t="n">
        <f aca="false">IF(AND(ISNUMBER($T74),$P74="高"),IF($T74=3,1,0),0)</f>
        <v>0</v>
      </c>
      <c r="AE74" s="186" t="n">
        <f aca="false">IF($S74="不存在",1,0)</f>
        <v>0</v>
      </c>
      <c r="AF74" s="35" t="str">
        <f aca="false">IF(OR($H74="—",$H74=""),"—",MATCH($H74,IDX_SrcID,0))</f>
        <v>—</v>
      </c>
      <c r="AG74" s="104" t="n">
        <f aca="false">IF(AND($P74="高",OR($AD74=1,$X74=1)),1,0)</f>
        <v>0</v>
      </c>
      <c r="AH74" s="104" t="n">
        <f aca="false">IF(AND($P74="高",$AG74=0,OR($F74&lt;&gt;"原始數據",$T74&lt;&gt;1)),1,0)</f>
        <v>0</v>
      </c>
      <c r="AI74" s="53" t="str">
        <f aca="false">IF(AND($P74="高",ISNUMBER($AF74)),INDEX(IDX_SrcDate,$AF74),"—")</f>
        <v>—</v>
      </c>
      <c r="AJ74" s="104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6" t="s">
        <v>3357</v>
      </c>
      <c r="B75" s="215" t="s">
        <v>3183</v>
      </c>
      <c r="C75" s="36" t="s">
        <v>3341</v>
      </c>
      <c r="D75" s="36" t="s">
        <v>3358</v>
      </c>
      <c r="E75" s="19" t="s">
        <v>162</v>
      </c>
      <c r="F75" s="215" t="s">
        <v>298</v>
      </c>
      <c r="G75" s="215" t="s">
        <v>3185</v>
      </c>
      <c r="H75" s="36" t="s">
        <v>3359</v>
      </c>
      <c r="I75" s="19" t="s">
        <v>3220</v>
      </c>
      <c r="J75" s="36" t="s">
        <v>587</v>
      </c>
      <c r="K75" s="215"/>
      <c r="L75" s="215"/>
      <c r="M75" s="36" t="s">
        <v>587</v>
      </c>
      <c r="N75" s="19" t="s">
        <v>3318</v>
      </c>
      <c r="O75" s="6" t="s">
        <v>587</v>
      </c>
      <c r="P75" s="215" t="s">
        <v>3188</v>
      </c>
      <c r="Q75" s="41" t="n">
        <f aca="false">Spec_Rack!D8</f>
        <v>120</v>
      </c>
      <c r="R75" s="185" t="n">
        <f aca="false">SRC_HW_004_Lo</f>
        <v>120</v>
      </c>
      <c r="S75" s="35" t="str">
        <f aca="false">IF(ISNUMBER($AF75),INDEX(IDX_SrcStat,$AF75),"—")</f>
        <v>Active</v>
      </c>
      <c r="T75" s="35" t="n">
        <f aca="false">IF(ISNUMBER($AF75),INDEX(IDX_SrcGrade,$AF75),"—")</f>
        <v>1</v>
      </c>
      <c r="U75" s="35" t="s">
        <v>3222</v>
      </c>
      <c r="V75" s="186" t="n">
        <f aca="false">IF(AND($F75="原始數據",$U75&lt;&gt;"連結 SRC"),1,0)</f>
        <v>0</v>
      </c>
      <c r="W75" s="186" t="n">
        <f aca="false">IF(AND($F75="Analogy",OR($H75="—",$H75="")),1,0)</f>
        <v>0</v>
      </c>
      <c r="X75" s="186" t="n">
        <f aca="false">IF(AND(OR($F75="Analogy",$F75="Assumed"),$G75&lt;&gt;"低",$G75&lt;&gt;"高",NOT(ISNUMBER($K75)),NOT(ISNUMBER($L75)),OR($M75="—",$M75="")),1,0)</f>
        <v>0</v>
      </c>
      <c r="Y75" s="186" t="n">
        <f aca="false">IF(AND(OR($F75="Analogy",$F75="Assumed",$F75="Derived（待改公式）",$F75="Derived（公式）"),OR($N75="—",$N75="",$N75=0)),1,0)</f>
        <v>0</v>
      </c>
      <c r="Z75" s="186" t="n">
        <f aca="false">IF(AND($F75="Decision",OR($J75="—",$J75="")),1,0)</f>
        <v>0</v>
      </c>
      <c r="AA75" s="183" t="n">
        <f aca="false">IF(OR($J75="—",$J75=""),0,IF(COUNTIF(Decisions!$A$5:$A$300,$J75)=0,1,0))</f>
        <v>0</v>
      </c>
      <c r="AB75" s="186" t="n">
        <f aca="false">IF(AND($F75="原始數據",$S75&lt;&gt;"Active"),1,0)</f>
        <v>0</v>
      </c>
      <c r="AC75" s="186" t="n">
        <f aca="false">IF(AND(ISNUMBER($K75),ISNUMBER($L75),ISNUMBER($Q75)),IF(OR($Q75&lt;MIN($K75,$L75),$Q75&gt;MAX($K75,$L75)),1,0),0)</f>
        <v>0</v>
      </c>
      <c r="AD75" s="186" t="n">
        <f aca="false">IF(AND(ISNUMBER($T75),$P75="高"),IF($T75=3,1,0),0)</f>
        <v>0</v>
      </c>
      <c r="AE75" s="186" t="n">
        <f aca="false">IF($S75="不存在",1,0)</f>
        <v>0</v>
      </c>
      <c r="AF75" s="35" t="n">
        <f aca="false">IF(OR($H75="—",$H75=""),"—",MATCH($H75,IDX_SrcID,0))</f>
        <v>4</v>
      </c>
      <c r="AG75" s="104" t="n">
        <f aca="false">IF(AND($P75="高",OR($AD75=1,$X75=1)),1,0)</f>
        <v>0</v>
      </c>
      <c r="AH75" s="104" t="n">
        <f aca="false">IF(AND($P75="高",$AG75=0,OR($F75&lt;&gt;"原始數據",$T75&lt;&gt;1)),1,0)</f>
        <v>0</v>
      </c>
      <c r="AI75" s="53" t="str">
        <f aca="false">IF(AND($P75="高",ISNUMBER($AF75)),INDEX(IDX_SrcDate,$AF75),"—")</f>
        <v>—</v>
      </c>
      <c r="AJ75" s="104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6" t="s">
        <v>3360</v>
      </c>
      <c r="B76" s="215" t="s">
        <v>3183</v>
      </c>
      <c r="C76" s="36" t="s">
        <v>3341</v>
      </c>
      <c r="D76" s="36" t="s">
        <v>3063</v>
      </c>
      <c r="E76" s="19" t="s">
        <v>162</v>
      </c>
      <c r="F76" s="215" t="s">
        <v>298</v>
      </c>
      <c r="G76" s="215" t="s">
        <v>3185</v>
      </c>
      <c r="H76" s="36" t="s">
        <v>3361</v>
      </c>
      <c r="I76" s="19" t="s">
        <v>3220</v>
      </c>
      <c r="J76" s="36" t="s">
        <v>587</v>
      </c>
      <c r="K76" s="215"/>
      <c r="L76" s="215"/>
      <c r="M76" s="36" t="s">
        <v>587</v>
      </c>
      <c r="N76" s="19" t="s">
        <v>3318</v>
      </c>
      <c r="O76" s="6" t="s">
        <v>587</v>
      </c>
      <c r="P76" s="215" t="s">
        <v>3188</v>
      </c>
      <c r="Q76" s="41" t="n">
        <f aca="false">Spec_Rack!E8</f>
        <v>132</v>
      </c>
      <c r="R76" s="185" t="n">
        <f aca="false">SRC_HW_005_Lo</f>
        <v>132</v>
      </c>
      <c r="S76" s="35" t="str">
        <f aca="false">IF(ISNUMBER($AF76),INDEX(IDX_SrcStat,$AF76),"—")</f>
        <v>Active</v>
      </c>
      <c r="T76" s="35" t="n">
        <f aca="false">IF(ISNUMBER($AF76),INDEX(IDX_SrcGrade,$AF76),"—")</f>
        <v>2</v>
      </c>
      <c r="U76" s="35" t="s">
        <v>3222</v>
      </c>
      <c r="V76" s="186" t="n">
        <f aca="false">IF(AND($F76="原始數據",$U76&lt;&gt;"連結 SRC"),1,0)</f>
        <v>0</v>
      </c>
      <c r="W76" s="186" t="n">
        <f aca="false">IF(AND($F76="Analogy",OR($H76="—",$H76="")),1,0)</f>
        <v>0</v>
      </c>
      <c r="X76" s="186" t="n">
        <f aca="false">IF(AND(OR($F76="Analogy",$F76="Assumed"),$G76&lt;&gt;"低",$G76&lt;&gt;"高",NOT(ISNUMBER($K76)),NOT(ISNUMBER($L76)),OR($M76="—",$M76="")),1,0)</f>
        <v>0</v>
      </c>
      <c r="Y76" s="186" t="n">
        <f aca="false">IF(AND(OR($F76="Analogy",$F76="Assumed",$F76="Derived（待改公式）",$F76="Derived（公式）"),OR($N76="—",$N76="",$N76=0)),1,0)</f>
        <v>0</v>
      </c>
      <c r="Z76" s="186" t="n">
        <f aca="false">IF(AND($F76="Decision",OR($J76="—",$J76="")),1,0)</f>
        <v>0</v>
      </c>
      <c r="AA76" s="183" t="n">
        <f aca="false">IF(OR($J76="—",$J76=""),0,IF(COUNTIF(Decisions!$A$5:$A$300,$J76)=0,1,0))</f>
        <v>0</v>
      </c>
      <c r="AB76" s="186" t="n">
        <f aca="false">IF(AND($F76="原始數據",$S76&lt;&gt;"Active"),1,0)</f>
        <v>0</v>
      </c>
      <c r="AC76" s="186" t="n">
        <f aca="false">IF(AND(ISNUMBER($K76),ISNUMBER($L76),ISNUMBER($Q76)),IF(OR($Q76&lt;MIN($K76,$L76),$Q76&gt;MAX($K76,$L76)),1,0),0)</f>
        <v>0</v>
      </c>
      <c r="AD76" s="186" t="n">
        <f aca="false">IF(AND(ISNUMBER($T76),$P76="高"),IF($T76=3,1,0),0)</f>
        <v>0</v>
      </c>
      <c r="AE76" s="186" t="n">
        <f aca="false">IF($S76="不存在",1,0)</f>
        <v>0</v>
      </c>
      <c r="AF76" s="35" t="n">
        <f aca="false">IF(OR($H76="—",$H76=""),"—",MATCH($H76,IDX_SrcID,0))</f>
        <v>5</v>
      </c>
      <c r="AG76" s="104" t="n">
        <f aca="false">IF(AND($P76="高",OR($AD76=1,$X76=1)),1,0)</f>
        <v>0</v>
      </c>
      <c r="AH76" s="104" t="n">
        <f aca="false">IF(AND($P76="高",$AG76=0,OR($F76&lt;&gt;"原始數據",$T76&lt;&gt;1)),1,0)</f>
        <v>0</v>
      </c>
      <c r="AI76" s="53" t="str">
        <f aca="false">IF(AND($P76="高",ISNUMBER($AF76)),INDEX(IDX_SrcDate,$AF76),"—")</f>
        <v>—</v>
      </c>
      <c r="AJ76" s="104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6" t="s">
        <v>3362</v>
      </c>
      <c r="B77" s="215" t="s">
        <v>3183</v>
      </c>
      <c r="C77" s="36" t="s">
        <v>3341</v>
      </c>
      <c r="D77" s="36" t="s">
        <v>3363</v>
      </c>
      <c r="E77" s="19" t="s">
        <v>162</v>
      </c>
      <c r="F77" s="215" t="s">
        <v>298</v>
      </c>
      <c r="G77" s="215" t="s">
        <v>3185</v>
      </c>
      <c r="H77" s="36" t="s">
        <v>3364</v>
      </c>
      <c r="I77" s="19" t="s">
        <v>3220</v>
      </c>
      <c r="J77" s="36" t="s">
        <v>587</v>
      </c>
      <c r="K77" s="215"/>
      <c r="L77" s="215"/>
      <c r="M77" s="36" t="s">
        <v>587</v>
      </c>
      <c r="N77" s="19" t="s">
        <v>3318</v>
      </c>
      <c r="O77" s="6" t="s">
        <v>587</v>
      </c>
      <c r="P77" s="215" t="s">
        <v>3188</v>
      </c>
      <c r="Q77" s="41" t="n">
        <f aca="false">Spec_Rack!F8</f>
        <v>188</v>
      </c>
      <c r="R77" s="185" t="n">
        <f aca="false">SRC_HW_011</f>
        <v>188</v>
      </c>
      <c r="S77" s="35" t="str">
        <f aca="false">IF(ISNUMBER($AF77),INDEX(IDX_SrcStat,$AF77),"—")</f>
        <v>Active</v>
      </c>
      <c r="T77" s="35" t="n">
        <f aca="false">IF(ISNUMBER($AF77),INDEX(IDX_SrcGrade,$AF77),"—")</f>
        <v>1</v>
      </c>
      <c r="U77" s="35" t="s">
        <v>3222</v>
      </c>
      <c r="V77" s="186" t="n">
        <f aca="false">IF(AND($F77="原始數據",$U77&lt;&gt;"連結 SRC"),1,0)</f>
        <v>0</v>
      </c>
      <c r="W77" s="186" t="n">
        <f aca="false">IF(AND($F77="Analogy",OR($H77="—",$H77="")),1,0)</f>
        <v>0</v>
      </c>
      <c r="X77" s="186" t="n">
        <f aca="false">IF(AND(OR($F77="Analogy",$F77="Assumed"),$G77&lt;&gt;"低",$G77&lt;&gt;"高",NOT(ISNUMBER($K77)),NOT(ISNUMBER($L77)),OR($M77="—",$M77="")),1,0)</f>
        <v>0</v>
      </c>
      <c r="Y77" s="186" t="n">
        <f aca="false">IF(AND(OR($F77="Analogy",$F77="Assumed",$F77="Derived（待改公式）",$F77="Derived（公式）"),OR($N77="—",$N77="",$N77=0)),1,0)</f>
        <v>0</v>
      </c>
      <c r="Z77" s="186" t="n">
        <f aca="false">IF(AND($F77="Decision",OR($J77="—",$J77="")),1,0)</f>
        <v>0</v>
      </c>
      <c r="AA77" s="183" t="n">
        <f aca="false">IF(OR($J77="—",$J77=""),0,IF(COUNTIF(Decisions!$A$5:$A$300,$J77)=0,1,0))</f>
        <v>0</v>
      </c>
      <c r="AB77" s="186" t="n">
        <f aca="false">IF(AND($F77="原始數據",$S77&lt;&gt;"Active"),1,0)</f>
        <v>0</v>
      </c>
      <c r="AC77" s="186" t="n">
        <f aca="false">IF(AND(ISNUMBER($K77),ISNUMBER($L77),ISNUMBER($Q77)),IF(OR($Q77&lt;MIN($K77,$L77),$Q77&gt;MAX($K77,$L77)),1,0),0)</f>
        <v>0</v>
      </c>
      <c r="AD77" s="186" t="n">
        <f aca="false">IF(AND(ISNUMBER($T77),$P77="高"),IF($T77=3,1,0),0)</f>
        <v>0</v>
      </c>
      <c r="AE77" s="186" t="n">
        <f aca="false">IF($S77="不存在",1,0)</f>
        <v>0</v>
      </c>
      <c r="AF77" s="35" t="n">
        <f aca="false">IF(OR($H77="—",$H77=""),"—",MATCH($H77,IDX_SrcID,0))</f>
        <v>11</v>
      </c>
      <c r="AG77" s="104" t="n">
        <f aca="false">IF(AND($P77="高",OR($AD77=1,$X77=1)),1,0)</f>
        <v>0</v>
      </c>
      <c r="AH77" s="104" t="n">
        <f aca="false">IF(AND($P77="高",$AG77=0,OR($F77&lt;&gt;"原始數據",$T77&lt;&gt;1)),1,0)</f>
        <v>0</v>
      </c>
      <c r="AI77" s="53" t="str">
        <f aca="false">IF(AND($P77="高",ISNUMBER($AF77)),INDEX(IDX_SrcDate,$AF77),"—")</f>
        <v>—</v>
      </c>
      <c r="AJ77" s="104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6" t="s">
        <v>3365</v>
      </c>
      <c r="B78" s="215" t="s">
        <v>3183</v>
      </c>
      <c r="C78" s="36" t="s">
        <v>3341</v>
      </c>
      <c r="D78" s="36" t="s">
        <v>3366</v>
      </c>
      <c r="E78" s="19" t="s">
        <v>162</v>
      </c>
      <c r="F78" s="36" t="s">
        <v>258</v>
      </c>
      <c r="G78" s="215" t="s">
        <v>1115</v>
      </c>
      <c r="H78" s="36" t="s">
        <v>587</v>
      </c>
      <c r="I78" s="6" t="s">
        <v>587</v>
      </c>
      <c r="J78" s="36" t="s">
        <v>587</v>
      </c>
      <c r="K78" s="215"/>
      <c r="L78" s="215"/>
      <c r="M78" s="36" t="s">
        <v>587</v>
      </c>
      <c r="N78" s="6" t="s">
        <v>3367</v>
      </c>
      <c r="O78" s="6" t="s">
        <v>587</v>
      </c>
      <c r="P78" s="215" t="s">
        <v>3188</v>
      </c>
      <c r="Q78" s="41" t="n">
        <f aca="false">Spec_Rack!G8</f>
        <v>300</v>
      </c>
      <c r="R78" s="36" t="s">
        <v>587</v>
      </c>
      <c r="S78" s="35" t="str">
        <f aca="false">IF(ISNUMBER($AF78),INDEX(IDX_SrcStat,$AF78),"—")</f>
        <v>—</v>
      </c>
      <c r="T78" s="35" t="str">
        <f aca="false">IF(ISNUMBER($AF78),INDEX(IDX_SrcGrade,$AF78),"—")</f>
        <v>—</v>
      </c>
      <c r="U78" s="35" t="s">
        <v>3189</v>
      </c>
      <c r="V78" s="186" t="n">
        <f aca="false">IF(AND($F78="原始數據",$U78&lt;&gt;"連結 SRC"),1,0)</f>
        <v>0</v>
      </c>
      <c r="W78" s="186" t="n">
        <f aca="false">IF(AND($F78="Analogy",OR($H78="—",$H78="")),1,0)</f>
        <v>0</v>
      </c>
      <c r="X78" s="186" t="n">
        <f aca="false">IF(AND(OR($F78="Analogy",$F78="Assumed"),$G78&lt;&gt;"低",$G78&lt;&gt;"高",NOT(ISNUMBER($K78)),NOT(ISNUMBER($L78)),OR($M78="—",$M78="")),1,0)</f>
        <v>0</v>
      </c>
      <c r="Y78" s="186" t="n">
        <f aca="false">IF(AND(OR($F78="Analogy",$F78="Assumed",$F78="Derived（待改公式）",$F78="Derived（公式）"),OR($N78="—",$N78="",$N78=0)),1,0)</f>
        <v>0</v>
      </c>
      <c r="Z78" s="186" t="n">
        <f aca="false">IF(AND($F78="Decision",OR($J78="—",$J78="")),1,0)</f>
        <v>0</v>
      </c>
      <c r="AA78" s="183" t="n">
        <f aca="false">IF(OR($J78="—",$J78=""),0,IF(COUNTIF(Decisions!$A$5:$A$300,$J78)=0,1,0))</f>
        <v>0</v>
      </c>
      <c r="AB78" s="186" t="n">
        <f aca="false">IF(AND($F78="原始數據",$S78&lt;&gt;"Active"),1,0)</f>
        <v>0</v>
      </c>
      <c r="AC78" s="186" t="n">
        <f aca="false">IF(AND(ISNUMBER($K78),ISNUMBER($L78),ISNUMBER($Q78)),IF(OR($Q78&lt;MIN($K78,$L78),$Q78&gt;MAX($K78,$L78)),1,0),0)</f>
        <v>0</v>
      </c>
      <c r="AD78" s="186" t="n">
        <f aca="false">IF(AND(ISNUMBER($T78),$P78="高"),IF($T78=3,1,0),0)</f>
        <v>0</v>
      </c>
      <c r="AE78" s="186" t="n">
        <f aca="false">IF($S78="不存在",1,0)</f>
        <v>0</v>
      </c>
      <c r="AF78" s="35" t="str">
        <f aca="false">IF(OR($H78="—",$H78=""),"—",MATCH($H78,IDX_SrcID,0))</f>
        <v>—</v>
      </c>
      <c r="AG78" s="104" t="n">
        <f aca="false">IF(AND($P78="高",OR($AD78=1,$X78=1)),1,0)</f>
        <v>0</v>
      </c>
      <c r="AH78" s="104" t="n">
        <f aca="false">IF(AND($P78="高",$AG78=0,OR($F78&lt;&gt;"原始數據",$T78&lt;&gt;1)),1,0)</f>
        <v>0</v>
      </c>
      <c r="AI78" s="53" t="str">
        <f aca="false">IF(AND($P78="高",ISNUMBER($AF78)),INDEX(IDX_SrcDate,$AF78),"—")</f>
        <v>—</v>
      </c>
      <c r="AJ78" s="104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6" t="s">
        <v>3368</v>
      </c>
      <c r="B79" s="215" t="s">
        <v>3183</v>
      </c>
      <c r="C79" s="36" t="s">
        <v>3341</v>
      </c>
      <c r="D79" s="36" t="s">
        <v>3369</v>
      </c>
      <c r="E79" s="19" t="s">
        <v>163</v>
      </c>
      <c r="F79" s="215" t="s">
        <v>3370</v>
      </c>
      <c r="G79" s="215" t="s">
        <v>65</v>
      </c>
      <c r="H79" s="36" t="s">
        <v>3371</v>
      </c>
      <c r="I79" s="19" t="s">
        <v>3372</v>
      </c>
      <c r="J79" s="36" t="s">
        <v>587</v>
      </c>
      <c r="K79" s="41" t="n">
        <f aca="false">Spec_Rack!C8</f>
        <v>38</v>
      </c>
      <c r="L79" s="41" t="n">
        <f aca="false">Spec_Rack!C10</f>
        <v>44</v>
      </c>
      <c r="M79" s="36" t="s">
        <v>587</v>
      </c>
      <c r="N79" s="19" t="s">
        <v>3373</v>
      </c>
      <c r="O79" s="6" t="s">
        <v>587</v>
      </c>
      <c r="P79" s="215" t="s">
        <v>1116</v>
      </c>
      <c r="Q79" s="41" t="n">
        <f aca="false">Spec_Rack!C9</f>
        <v>41</v>
      </c>
      <c r="R79" s="185" t="n">
        <f aca="false">SRC_HW_001</f>
        <v>10.2</v>
      </c>
      <c r="S79" s="35" t="str">
        <f aca="false">IF(ISNUMBER($AF79),INDEX(IDX_SrcStat,$AF79),"—")</f>
        <v>Active</v>
      </c>
      <c r="T79" s="35" t="n">
        <f aca="false">IF(ISNUMBER($AF79),INDEX(IDX_SrcGrade,$AF79),"—")</f>
        <v>1</v>
      </c>
      <c r="U79" s="35" t="s">
        <v>3189</v>
      </c>
      <c r="V79" s="186" t="n">
        <f aca="false">IF(AND($F79="原始數據",$U79&lt;&gt;"連結 SRC"),1,0)</f>
        <v>0</v>
      </c>
      <c r="W79" s="186" t="n">
        <f aca="false">IF(AND($F79="Analogy",OR($H79="—",$H79="")),1,0)</f>
        <v>0</v>
      </c>
      <c r="X79" s="186" t="n">
        <f aca="false">IF(AND(OR($F79="Analogy",$F79="Assumed"),$G79&lt;&gt;"低",$G79&lt;&gt;"高",NOT(ISNUMBER($K79)),NOT(ISNUMBER($L79)),OR($M79="—",$M79="")),1,0)</f>
        <v>0</v>
      </c>
      <c r="Y79" s="186" t="n">
        <f aca="false">IF(AND(OR($F79="Analogy",$F79="Assumed",$F79="Derived（待改公式）",$F79="Derived（公式）"),OR($N79="—",$N79="",$N79=0)),1,0)</f>
        <v>0</v>
      </c>
      <c r="Z79" s="186" t="n">
        <f aca="false">IF(AND($F79="Decision",OR($J79="—",$J79="")),1,0)</f>
        <v>0</v>
      </c>
      <c r="AA79" s="183" t="n">
        <f aca="false">IF(OR($J79="—",$J79=""),0,IF(COUNTIF(Decisions!$A$5:$A$300,$J79)=0,1,0))</f>
        <v>0</v>
      </c>
      <c r="AB79" s="186" t="n">
        <f aca="false">IF(AND($F79="原始數據",$S79&lt;&gt;"Active"),1,0)</f>
        <v>0</v>
      </c>
      <c r="AC79" s="186" t="n">
        <f aca="false">IF(AND(ISNUMBER($K79),ISNUMBER($L79),ISNUMBER($Q79)),IF(OR($Q79&lt;MIN($K79,$L79),$Q79&gt;MAX($K79,$L79)),1,0),0)</f>
        <v>0</v>
      </c>
      <c r="AD79" s="186" t="n">
        <f aca="false">IF(AND(ISNUMBER($T79),$P79="高"),IF($T79=3,1,0),0)</f>
        <v>0</v>
      </c>
      <c r="AE79" s="186" t="n">
        <f aca="false">IF($S79="不存在",1,0)</f>
        <v>0</v>
      </c>
      <c r="AF79" s="35" t="n">
        <f aca="false">IF(OR($H79="—",$H79=""),"—",MATCH($H79,IDX_SrcID,0))</f>
        <v>1</v>
      </c>
      <c r="AG79" s="104" t="n">
        <f aca="false">IF(AND($P79="高",OR($AD79=1,$X79=1)),1,0)</f>
        <v>0</v>
      </c>
      <c r="AH79" s="104" t="n">
        <f aca="false">IF(AND($P79="高",$AG79=0,OR($F79&lt;&gt;"原始數據",$T79&lt;&gt;1)),1,0)</f>
        <v>1</v>
      </c>
      <c r="AI79" s="53" t="str">
        <f aca="false">IF(AND($P79="高",ISNUMBER($AF79)),INDEX(IDX_SrcDate,$AF79),"—")</f>
        <v>2026-10-05</v>
      </c>
      <c r="AJ79" s="104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6" t="s">
        <v>3374</v>
      </c>
      <c r="B80" s="215" t="s">
        <v>3183</v>
      </c>
      <c r="C80" s="36" t="s">
        <v>3341</v>
      </c>
      <c r="D80" s="36" t="s">
        <v>3198</v>
      </c>
      <c r="E80" s="19" t="s">
        <v>163</v>
      </c>
      <c r="F80" s="215" t="s">
        <v>298</v>
      </c>
      <c r="G80" s="215" t="s">
        <v>65</v>
      </c>
      <c r="H80" s="36" t="s">
        <v>3359</v>
      </c>
      <c r="I80" s="19" t="s">
        <v>3375</v>
      </c>
      <c r="J80" s="36" t="s">
        <v>587</v>
      </c>
      <c r="K80" s="41" t="n">
        <f aca="false">Spec_Rack!D8</f>
        <v>120</v>
      </c>
      <c r="L80" s="41" t="n">
        <f aca="false">Spec_Rack!D10</f>
        <v>140</v>
      </c>
      <c r="M80" s="36" t="s">
        <v>587</v>
      </c>
      <c r="N80" s="19" t="s">
        <v>3376</v>
      </c>
      <c r="O80" s="6" t="s">
        <v>587</v>
      </c>
      <c r="P80" s="215" t="s">
        <v>1116</v>
      </c>
      <c r="Q80" s="41" t="n">
        <f aca="false">Spec_Rack!D9</f>
        <v>132</v>
      </c>
      <c r="R80" s="185" t="n">
        <f aca="false">SRC_HW_004_Hi</f>
        <v>132</v>
      </c>
      <c r="S80" s="35" t="str">
        <f aca="false">IF(ISNUMBER($AF80),INDEX(IDX_SrcStat,$AF80),"—")</f>
        <v>Active</v>
      </c>
      <c r="T80" s="35" t="n">
        <f aca="false">IF(ISNUMBER($AF80),INDEX(IDX_SrcGrade,$AF80),"—")</f>
        <v>1</v>
      </c>
      <c r="U80" s="35" t="s">
        <v>3222</v>
      </c>
      <c r="V80" s="186" t="n">
        <f aca="false">IF(AND($F80="原始數據",$U80&lt;&gt;"連結 SRC"),1,0)</f>
        <v>0</v>
      </c>
      <c r="W80" s="186" t="n">
        <f aca="false">IF(AND($F80="Analogy",OR($H80="—",$H80="")),1,0)</f>
        <v>0</v>
      </c>
      <c r="X80" s="186" t="n">
        <f aca="false">IF(AND(OR($F80="Analogy",$F80="Assumed"),$G80&lt;&gt;"低",$G80&lt;&gt;"高",NOT(ISNUMBER($K80)),NOT(ISNUMBER($L80)),OR($M80="—",$M80="")),1,0)</f>
        <v>0</v>
      </c>
      <c r="Y80" s="186" t="n">
        <f aca="false">IF(AND(OR($F80="Analogy",$F80="Assumed",$F80="Derived（待改公式）",$F80="Derived（公式）"),OR($N80="—",$N80="",$N80=0)),1,0)</f>
        <v>0</v>
      </c>
      <c r="Z80" s="186" t="n">
        <f aca="false">IF(AND($F80="Decision",OR($J80="—",$J80="")),1,0)</f>
        <v>0</v>
      </c>
      <c r="AA80" s="183" t="n">
        <f aca="false">IF(OR($J80="—",$J80=""),0,IF(COUNTIF(Decisions!$A$5:$A$300,$J80)=0,1,0))</f>
        <v>0</v>
      </c>
      <c r="AB80" s="186" t="n">
        <f aca="false">IF(AND($F80="原始數據",$S80&lt;&gt;"Active"),1,0)</f>
        <v>0</v>
      </c>
      <c r="AC80" s="186" t="n">
        <f aca="false">IF(AND(ISNUMBER($K80),ISNUMBER($L80),ISNUMBER($Q80)),IF(OR($Q80&lt;MIN($K80,$L80),$Q80&gt;MAX($K80,$L80)),1,0),0)</f>
        <v>0</v>
      </c>
      <c r="AD80" s="186" t="n">
        <f aca="false">IF(AND(ISNUMBER($T80),$P80="高"),IF($T80=3,1,0),0)</f>
        <v>0</v>
      </c>
      <c r="AE80" s="186" t="n">
        <f aca="false">IF($S80="不存在",1,0)</f>
        <v>0</v>
      </c>
      <c r="AF80" s="35" t="n">
        <f aca="false">IF(OR($H80="—",$H80=""),"—",MATCH($H80,IDX_SrcID,0))</f>
        <v>4</v>
      </c>
      <c r="AG80" s="104" t="n">
        <f aca="false">IF(AND($P80="高",OR($AD80=1,$X80=1)),1,0)</f>
        <v>0</v>
      </c>
      <c r="AH80" s="104" t="n">
        <f aca="false">IF(AND($P80="高",$AG80=0,OR($F80&lt;&gt;"原始數據",$T80&lt;&gt;1)),1,0)</f>
        <v>0</v>
      </c>
      <c r="AI80" s="53" t="str">
        <f aca="false">IF(AND($P80="高",ISNUMBER($AF80)),INDEX(IDX_SrcDate,$AF80),"—")</f>
        <v>2026-10-05</v>
      </c>
      <c r="AJ80" s="104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6" t="s">
        <v>3377</v>
      </c>
      <c r="B81" s="215" t="s">
        <v>3183</v>
      </c>
      <c r="C81" s="36" t="s">
        <v>3341</v>
      </c>
      <c r="D81" s="36" t="s">
        <v>3066</v>
      </c>
      <c r="E81" s="19" t="s">
        <v>163</v>
      </c>
      <c r="F81" s="215" t="s">
        <v>258</v>
      </c>
      <c r="G81" s="215" t="s">
        <v>65</v>
      </c>
      <c r="H81" s="36" t="s">
        <v>3361</v>
      </c>
      <c r="I81" s="19" t="s">
        <v>3378</v>
      </c>
      <c r="J81" s="36" t="s">
        <v>587</v>
      </c>
      <c r="K81" s="41" t="n">
        <f aca="false">Spec_Rack!E8</f>
        <v>132</v>
      </c>
      <c r="L81" s="41" t="n">
        <f aca="false">Spec_Rack!E10</f>
        <v>140</v>
      </c>
      <c r="M81" s="36" t="s">
        <v>587</v>
      </c>
      <c r="N81" s="19" t="s">
        <v>3379</v>
      </c>
      <c r="O81" s="19" t="s">
        <v>3380</v>
      </c>
      <c r="P81" s="215" t="s">
        <v>1116</v>
      </c>
      <c r="Q81" s="41" t="n">
        <f aca="false">Spec_Rack!E9</f>
        <v>136</v>
      </c>
      <c r="R81" s="185" t="n">
        <f aca="false">SRC_HW_005_Lo</f>
        <v>132</v>
      </c>
      <c r="S81" s="35" t="str">
        <f aca="false">IF(ISNUMBER($AF81),INDEX(IDX_SrcStat,$AF81),"—")</f>
        <v>Active</v>
      </c>
      <c r="T81" s="35" t="n">
        <f aca="false">IF(ISNUMBER($AF81),INDEX(IDX_SrcGrade,$AF81),"—")</f>
        <v>2</v>
      </c>
      <c r="U81" s="35" t="s">
        <v>3189</v>
      </c>
      <c r="V81" s="186" t="n">
        <f aca="false">IF(AND($F81="原始數據",$U81&lt;&gt;"連結 SRC"),1,0)</f>
        <v>0</v>
      </c>
      <c r="W81" s="186" t="n">
        <f aca="false">IF(AND($F81="Analogy",OR($H81="—",$H81="")),1,0)</f>
        <v>0</v>
      </c>
      <c r="X81" s="186" t="n">
        <f aca="false">IF(AND(OR($F81="Analogy",$F81="Assumed"),$G81&lt;&gt;"低",$G81&lt;&gt;"高",NOT(ISNUMBER($K81)),NOT(ISNUMBER($L81)),OR($M81="—",$M81="")),1,0)</f>
        <v>0</v>
      </c>
      <c r="Y81" s="186" t="n">
        <f aca="false">IF(AND(OR($F81="Analogy",$F81="Assumed",$F81="Derived（待改公式）",$F81="Derived（公式）"),OR($N81="—",$N81="",$N81=0)),1,0)</f>
        <v>0</v>
      </c>
      <c r="Z81" s="186" t="n">
        <f aca="false">IF(AND($F81="Decision",OR($J81="—",$J81="")),1,0)</f>
        <v>0</v>
      </c>
      <c r="AA81" s="183" t="n">
        <f aca="false">IF(OR($J81="—",$J81=""),0,IF(COUNTIF(Decisions!$A$5:$A$300,$J81)=0,1,0))</f>
        <v>0</v>
      </c>
      <c r="AB81" s="186" t="n">
        <f aca="false">IF(AND($F81="原始數據",$S81&lt;&gt;"Active"),1,0)</f>
        <v>0</v>
      </c>
      <c r="AC81" s="186" t="n">
        <f aca="false">IF(AND(ISNUMBER($K81),ISNUMBER($L81),ISNUMBER($Q81)),IF(OR($Q81&lt;MIN($K81,$L81),$Q81&gt;MAX($K81,$L81)),1,0),0)</f>
        <v>0</v>
      </c>
      <c r="AD81" s="186" t="n">
        <f aca="false">IF(AND(ISNUMBER($T81),$P81="高"),IF($T81=3,1,0),0)</f>
        <v>0</v>
      </c>
      <c r="AE81" s="186" t="n">
        <f aca="false">IF($S81="不存在",1,0)</f>
        <v>0</v>
      </c>
      <c r="AF81" s="35" t="n">
        <f aca="false">IF(OR($H81="—",$H81=""),"—",MATCH($H81,IDX_SrcID,0))</f>
        <v>5</v>
      </c>
      <c r="AG81" s="104" t="n">
        <f aca="false">IF(AND($P81="高",OR($AD81=1,$X81=1)),1,0)</f>
        <v>0</v>
      </c>
      <c r="AH81" s="104" t="n">
        <f aca="false">IF(AND($P81="高",$AG81=0,OR($F81&lt;&gt;"原始數據",$T81&lt;&gt;1)),1,0)</f>
        <v>1</v>
      </c>
      <c r="AI81" s="53" t="str">
        <f aca="false">IF(AND($P81="高",ISNUMBER($AF81)),INDEX(IDX_SrcDate,$AF81),"—")</f>
        <v>2026-10-05</v>
      </c>
      <c r="AJ81" s="104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6" t="s">
        <v>3381</v>
      </c>
      <c r="B82" s="215" t="s">
        <v>3183</v>
      </c>
      <c r="C82" s="36" t="s">
        <v>3341</v>
      </c>
      <c r="D82" s="36" t="s">
        <v>3200</v>
      </c>
      <c r="E82" s="19" t="s">
        <v>163</v>
      </c>
      <c r="F82" s="215" t="s">
        <v>298</v>
      </c>
      <c r="G82" s="215" t="s">
        <v>3185</v>
      </c>
      <c r="H82" s="36" t="s">
        <v>3382</v>
      </c>
      <c r="I82" s="19" t="s">
        <v>3220</v>
      </c>
      <c r="J82" s="36" t="s">
        <v>587</v>
      </c>
      <c r="K82" s="215"/>
      <c r="L82" s="215"/>
      <c r="M82" s="36" t="s">
        <v>587</v>
      </c>
      <c r="N82" s="19" t="s">
        <v>3318</v>
      </c>
      <c r="O82" s="6" t="s">
        <v>587</v>
      </c>
      <c r="P82" s="215" t="s">
        <v>1116</v>
      </c>
      <c r="Q82" s="41" t="n">
        <f aca="false">Spec_Rack!F9</f>
        <v>227</v>
      </c>
      <c r="R82" s="185" t="n">
        <f aca="false">SRC_HW_014</f>
        <v>227</v>
      </c>
      <c r="S82" s="35" t="str">
        <f aca="false">IF(ISNUMBER($AF82),INDEX(IDX_SrcStat,$AF82),"—")</f>
        <v>Active</v>
      </c>
      <c r="T82" s="35" t="n">
        <f aca="false">IF(ISNUMBER($AF82),INDEX(IDX_SrcGrade,$AF82),"—")</f>
        <v>1</v>
      </c>
      <c r="U82" s="35" t="s">
        <v>3222</v>
      </c>
      <c r="V82" s="186" t="n">
        <f aca="false">IF(AND($F82="原始數據",$U82&lt;&gt;"連結 SRC"),1,0)</f>
        <v>0</v>
      </c>
      <c r="W82" s="186" t="n">
        <f aca="false">IF(AND($F82="Analogy",OR($H82="—",$H82="")),1,0)</f>
        <v>0</v>
      </c>
      <c r="X82" s="186" t="n">
        <f aca="false">IF(AND(OR($F82="Analogy",$F82="Assumed"),$G82&lt;&gt;"低",$G82&lt;&gt;"高",NOT(ISNUMBER($K82)),NOT(ISNUMBER($L82)),OR($M82="—",$M82="")),1,0)</f>
        <v>0</v>
      </c>
      <c r="Y82" s="186" t="n">
        <f aca="false">IF(AND(OR($F82="Analogy",$F82="Assumed",$F82="Derived（待改公式）",$F82="Derived（公式）"),OR($N82="—",$N82="",$N82=0)),1,0)</f>
        <v>0</v>
      </c>
      <c r="Z82" s="186" t="n">
        <f aca="false">IF(AND($F82="Decision",OR($J82="—",$J82="")),1,0)</f>
        <v>0</v>
      </c>
      <c r="AA82" s="183" t="n">
        <f aca="false">IF(OR($J82="—",$J82=""),0,IF(COUNTIF(Decisions!$A$5:$A$300,$J82)=0,1,0))</f>
        <v>0</v>
      </c>
      <c r="AB82" s="186" t="n">
        <f aca="false">IF(AND($F82="原始數據",$S82&lt;&gt;"Active"),1,0)</f>
        <v>0</v>
      </c>
      <c r="AC82" s="186" t="n">
        <f aca="false">IF(AND(ISNUMBER($K82),ISNUMBER($L82),ISNUMBER($Q82)),IF(OR($Q82&lt;MIN($K82,$L82),$Q82&gt;MAX($K82,$L82)),1,0),0)</f>
        <v>0</v>
      </c>
      <c r="AD82" s="186" t="n">
        <f aca="false">IF(AND(ISNUMBER($T82),$P82="高"),IF($T82=3,1,0),0)</f>
        <v>0</v>
      </c>
      <c r="AE82" s="186" t="n">
        <f aca="false">IF($S82="不存在",1,0)</f>
        <v>0</v>
      </c>
      <c r="AF82" s="35" t="n">
        <f aca="false">IF(OR($H82="—",$H82=""),"—",MATCH($H82,IDX_SrcID,0))</f>
        <v>14</v>
      </c>
      <c r="AG82" s="104" t="n">
        <f aca="false">IF(AND($P82="高",OR($AD82=1,$X82=1)),1,0)</f>
        <v>0</v>
      </c>
      <c r="AH82" s="104" t="n">
        <f aca="false">IF(AND($P82="高",$AG82=0,OR($F82&lt;&gt;"原始數據",$T82&lt;&gt;1)),1,0)</f>
        <v>0</v>
      </c>
      <c r="AI82" s="53" t="str">
        <f aca="false">IF(AND($P82="高",ISNUMBER($AF82)),INDEX(IDX_SrcDate,$AF82),"—")</f>
        <v>2026-10-05</v>
      </c>
      <c r="AJ82" s="104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6" t="s">
        <v>3383</v>
      </c>
      <c r="B83" s="215" t="s">
        <v>3183</v>
      </c>
      <c r="C83" s="36" t="s">
        <v>3341</v>
      </c>
      <c r="D83" s="36" t="s">
        <v>3384</v>
      </c>
      <c r="E83" s="19" t="s">
        <v>163</v>
      </c>
      <c r="F83" s="215" t="s">
        <v>258</v>
      </c>
      <c r="G83" s="215" t="s">
        <v>65</v>
      </c>
      <c r="H83" s="36" t="s">
        <v>587</v>
      </c>
      <c r="I83" s="19" t="s">
        <v>3385</v>
      </c>
      <c r="J83" s="36" t="s">
        <v>587</v>
      </c>
      <c r="K83" s="218" t="n">
        <f aca="false">Spec_Rack!G8</f>
        <v>300</v>
      </c>
      <c r="L83" s="218" t="n">
        <f aca="false">Spec_Rack!G10</f>
        <v>454</v>
      </c>
      <c r="M83" s="36" t="s">
        <v>587</v>
      </c>
      <c r="N83" s="19" t="s">
        <v>3386</v>
      </c>
      <c r="O83" s="19" t="s">
        <v>3387</v>
      </c>
      <c r="P83" s="215" t="s">
        <v>1116</v>
      </c>
      <c r="Q83" s="41" t="n">
        <f aca="false">Spec_Rack!G9</f>
        <v>340</v>
      </c>
      <c r="R83" s="36" t="s">
        <v>587</v>
      </c>
      <c r="S83" s="35" t="str">
        <f aca="false">IF(ISNUMBER($AF83),INDEX(IDX_SrcStat,$AF83),"—")</f>
        <v>—</v>
      </c>
      <c r="T83" s="35" t="str">
        <f aca="false">IF(ISNUMBER($AF83),INDEX(IDX_SrcGrade,$AF83),"—")</f>
        <v>—</v>
      </c>
      <c r="U83" s="35" t="s">
        <v>3189</v>
      </c>
      <c r="V83" s="186" t="n">
        <f aca="false">IF(AND($F83="原始數據",$U83&lt;&gt;"連結 SRC"),1,0)</f>
        <v>0</v>
      </c>
      <c r="W83" s="186" t="n">
        <f aca="false">IF(AND($F83="Analogy",OR($H83="—",$H83="")),1,0)</f>
        <v>0</v>
      </c>
      <c r="X83" s="186" t="n">
        <f aca="false">IF(AND(OR($F83="Analogy",$F83="Assumed"),$G83&lt;&gt;"低",$G83&lt;&gt;"高",NOT(ISNUMBER($K83)),NOT(ISNUMBER($L83)),OR($M83="—",$M83="")),1,0)</f>
        <v>0</v>
      </c>
      <c r="Y83" s="186" t="n">
        <f aca="false">IF(AND(OR($F83="Analogy",$F83="Assumed",$F83="Derived（待改公式）",$F83="Derived（公式）"),OR($N83="—",$N83="",$N83=0)),1,0)</f>
        <v>0</v>
      </c>
      <c r="Z83" s="186" t="n">
        <f aca="false">IF(AND($F83="Decision",OR($J83="—",$J83="")),1,0)</f>
        <v>0</v>
      </c>
      <c r="AA83" s="183" t="n">
        <f aca="false">IF(OR($J83="—",$J83=""),0,IF(COUNTIF(Decisions!$A$5:$A$300,$J83)=0,1,0))</f>
        <v>0</v>
      </c>
      <c r="AB83" s="186" t="n">
        <f aca="false">IF(AND($F83="原始數據",$S83&lt;&gt;"Active"),1,0)</f>
        <v>0</v>
      </c>
      <c r="AC83" s="186" t="n">
        <f aca="false">IF(AND(ISNUMBER($K83),ISNUMBER($L83),ISNUMBER($Q83)),IF(OR($Q83&lt;MIN($K83,$L83),$Q83&gt;MAX($K83,$L83)),1,0),0)</f>
        <v>0</v>
      </c>
      <c r="AD83" s="186" t="n">
        <f aca="false">IF(AND(ISNUMBER($T83),$P83="高"),IF($T83=3,1,0),0)</f>
        <v>0</v>
      </c>
      <c r="AE83" s="186" t="n">
        <f aca="false">IF($S83="不存在",1,0)</f>
        <v>0</v>
      </c>
      <c r="AF83" s="35" t="str">
        <f aca="false">IF(OR($H83="—",$H83=""),"—",MATCH($H83,IDX_SrcID,0))</f>
        <v>—</v>
      </c>
      <c r="AG83" s="104" t="n">
        <f aca="false">IF(AND($P83="高",OR($AD83=1,$X83=1)),1,0)</f>
        <v>0</v>
      </c>
      <c r="AH83" s="104" t="n">
        <f aca="false">IF(AND($P83="高",$AG83=0,OR($F83&lt;&gt;"原始數據",$T83&lt;&gt;1)),1,0)</f>
        <v>1</v>
      </c>
      <c r="AI83" s="53" t="str">
        <f aca="false">IF(AND($P83="高",ISNUMBER($AF83)),INDEX(IDX_SrcDate,$AF83),"—")</f>
        <v>—</v>
      </c>
      <c r="AJ83" s="104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6" t="s">
        <v>3388</v>
      </c>
      <c r="B84" s="215" t="s">
        <v>3183</v>
      </c>
      <c r="C84" s="36" t="s">
        <v>3341</v>
      </c>
      <c r="D84" s="36" t="s">
        <v>3389</v>
      </c>
      <c r="E84" s="19" t="s">
        <v>164</v>
      </c>
      <c r="F84" s="36" t="s">
        <v>80</v>
      </c>
      <c r="G84" s="215" t="s">
        <v>1116</v>
      </c>
      <c r="H84" s="36" t="s">
        <v>587</v>
      </c>
      <c r="I84" s="6" t="s">
        <v>587</v>
      </c>
      <c r="J84" s="36" t="s">
        <v>587</v>
      </c>
      <c r="K84" s="215"/>
      <c r="L84" s="215"/>
      <c r="M84" s="36" t="s">
        <v>587</v>
      </c>
      <c r="N84" s="6" t="s">
        <v>3390</v>
      </c>
      <c r="O84" s="6" t="s">
        <v>587</v>
      </c>
      <c r="P84" s="215" t="s">
        <v>3188</v>
      </c>
      <c r="Q84" s="41" t="n">
        <f aca="false">Spec_Rack!C10</f>
        <v>44</v>
      </c>
      <c r="R84" s="36" t="s">
        <v>587</v>
      </c>
      <c r="S84" s="35" t="str">
        <f aca="false">IF(ISNUMBER($AF84),INDEX(IDX_SrcStat,$AF84),"—")</f>
        <v>—</v>
      </c>
      <c r="T84" s="35" t="str">
        <f aca="false">IF(ISNUMBER($AF84),INDEX(IDX_SrcGrade,$AF84),"—")</f>
        <v>—</v>
      </c>
      <c r="U84" s="35" t="s">
        <v>3189</v>
      </c>
      <c r="V84" s="186" t="n">
        <f aca="false">IF(AND($F84="原始數據",$U84&lt;&gt;"連結 SRC"),1,0)</f>
        <v>0</v>
      </c>
      <c r="W84" s="186" t="n">
        <f aca="false">IF(AND($F84="Analogy",OR($H84="—",$H84="")),1,0)</f>
        <v>0</v>
      </c>
      <c r="X84" s="186" t="n">
        <f aca="false">IF(AND(OR($F84="Analogy",$F84="Assumed"),$G84&lt;&gt;"低",$G84&lt;&gt;"高",NOT(ISNUMBER($K84)),NOT(ISNUMBER($L84)),OR($M84="—",$M84="")),1,0)</f>
        <v>0</v>
      </c>
      <c r="Y84" s="186" t="n">
        <f aca="false">IF(AND(OR($F84="Analogy",$F84="Assumed",$F84="Derived（待改公式）",$F84="Derived（公式）"),OR($N84="—",$N84="",$N84=0)),1,0)</f>
        <v>0</v>
      </c>
      <c r="Z84" s="186" t="n">
        <f aca="false">IF(AND($F84="Decision",OR($J84="—",$J84="")),1,0)</f>
        <v>0</v>
      </c>
      <c r="AA84" s="183" t="n">
        <f aca="false">IF(OR($J84="—",$J84=""),0,IF(COUNTIF(Decisions!$A$5:$A$300,$J84)=0,1,0))</f>
        <v>0</v>
      </c>
      <c r="AB84" s="186" t="n">
        <f aca="false">IF(AND($F84="原始數據",$S84&lt;&gt;"Active"),1,0)</f>
        <v>0</v>
      </c>
      <c r="AC84" s="186" t="n">
        <f aca="false">IF(AND(ISNUMBER($K84),ISNUMBER($L84),ISNUMBER($Q84)),IF(OR($Q84&lt;MIN($K84,$L84),$Q84&gt;MAX($K84,$L84)),1,0),0)</f>
        <v>0</v>
      </c>
      <c r="AD84" s="186" t="n">
        <f aca="false">IF(AND(ISNUMBER($T84),$P84="高"),IF($T84=3,1,0),0)</f>
        <v>0</v>
      </c>
      <c r="AE84" s="186" t="n">
        <f aca="false">IF($S84="不存在",1,0)</f>
        <v>0</v>
      </c>
      <c r="AF84" s="35" t="str">
        <f aca="false">IF(OR($H84="—",$H84=""),"—",MATCH($H84,IDX_SrcID,0))</f>
        <v>—</v>
      </c>
      <c r="AG84" s="104" t="n">
        <f aca="false">IF(AND($P84="高",OR($AD84=1,$X84=1)),1,0)</f>
        <v>0</v>
      </c>
      <c r="AH84" s="104" t="n">
        <f aca="false">IF(AND($P84="高",$AG84=0,OR($F84&lt;&gt;"原始數據",$T84&lt;&gt;1)),1,0)</f>
        <v>0</v>
      </c>
      <c r="AI84" s="53" t="str">
        <f aca="false">IF(AND($P84="高",ISNUMBER($AF84)),INDEX(IDX_SrcDate,$AF84),"—")</f>
        <v>—</v>
      </c>
      <c r="AJ84" s="104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6" t="s">
        <v>3391</v>
      </c>
      <c r="B85" s="215" t="s">
        <v>3183</v>
      </c>
      <c r="C85" s="36" t="s">
        <v>3341</v>
      </c>
      <c r="D85" s="36" t="s">
        <v>3203</v>
      </c>
      <c r="E85" s="19" t="s">
        <v>164</v>
      </c>
      <c r="F85" s="36" t="s">
        <v>80</v>
      </c>
      <c r="G85" s="215" t="s">
        <v>1116</v>
      </c>
      <c r="H85" s="36" t="s">
        <v>587</v>
      </c>
      <c r="I85" s="6" t="s">
        <v>587</v>
      </c>
      <c r="J85" s="36" t="s">
        <v>587</v>
      </c>
      <c r="K85" s="215"/>
      <c r="L85" s="215"/>
      <c r="M85" s="36" t="s">
        <v>587</v>
      </c>
      <c r="N85" s="6" t="s">
        <v>3392</v>
      </c>
      <c r="O85" s="6" t="s">
        <v>587</v>
      </c>
      <c r="P85" s="215" t="s">
        <v>3188</v>
      </c>
      <c r="Q85" s="41" t="n">
        <f aca="false">Spec_Rack!D10</f>
        <v>140</v>
      </c>
      <c r="R85" s="36" t="s">
        <v>587</v>
      </c>
      <c r="S85" s="35" t="str">
        <f aca="false">IF(ISNUMBER($AF85),INDEX(IDX_SrcStat,$AF85),"—")</f>
        <v>—</v>
      </c>
      <c r="T85" s="35" t="str">
        <f aca="false">IF(ISNUMBER($AF85),INDEX(IDX_SrcGrade,$AF85),"—")</f>
        <v>—</v>
      </c>
      <c r="U85" s="35" t="s">
        <v>3189</v>
      </c>
      <c r="V85" s="186" t="n">
        <f aca="false">IF(AND($F85="原始數據",$U85&lt;&gt;"連結 SRC"),1,0)</f>
        <v>0</v>
      </c>
      <c r="W85" s="186" t="n">
        <f aca="false">IF(AND($F85="Analogy",OR($H85="—",$H85="")),1,0)</f>
        <v>0</v>
      </c>
      <c r="X85" s="186" t="n">
        <f aca="false">IF(AND(OR($F85="Analogy",$F85="Assumed"),$G85&lt;&gt;"低",$G85&lt;&gt;"高",NOT(ISNUMBER($K85)),NOT(ISNUMBER($L85)),OR($M85="—",$M85="")),1,0)</f>
        <v>0</v>
      </c>
      <c r="Y85" s="186" t="n">
        <f aca="false">IF(AND(OR($F85="Analogy",$F85="Assumed",$F85="Derived（待改公式）",$F85="Derived（公式）"),OR($N85="—",$N85="",$N85=0)),1,0)</f>
        <v>0</v>
      </c>
      <c r="Z85" s="186" t="n">
        <f aca="false">IF(AND($F85="Decision",OR($J85="—",$J85="")),1,0)</f>
        <v>0</v>
      </c>
      <c r="AA85" s="183" t="n">
        <f aca="false">IF(OR($J85="—",$J85=""),0,IF(COUNTIF(Decisions!$A$5:$A$300,$J85)=0,1,0))</f>
        <v>0</v>
      </c>
      <c r="AB85" s="186" t="n">
        <f aca="false">IF(AND($F85="原始數據",$S85&lt;&gt;"Active"),1,0)</f>
        <v>0</v>
      </c>
      <c r="AC85" s="186" t="n">
        <f aca="false">IF(AND(ISNUMBER($K85),ISNUMBER($L85),ISNUMBER($Q85)),IF(OR($Q85&lt;MIN($K85,$L85),$Q85&gt;MAX($K85,$L85)),1,0),0)</f>
        <v>0</v>
      </c>
      <c r="AD85" s="186" t="n">
        <f aca="false">IF(AND(ISNUMBER($T85),$P85="高"),IF($T85=3,1,0),0)</f>
        <v>0</v>
      </c>
      <c r="AE85" s="186" t="n">
        <f aca="false">IF($S85="不存在",1,0)</f>
        <v>0</v>
      </c>
      <c r="AF85" s="35" t="str">
        <f aca="false">IF(OR($H85="—",$H85=""),"—",MATCH($H85,IDX_SrcID,0))</f>
        <v>—</v>
      </c>
      <c r="AG85" s="104" t="n">
        <f aca="false">IF(AND($P85="高",OR($AD85=1,$X85=1)),1,0)</f>
        <v>0</v>
      </c>
      <c r="AH85" s="104" t="n">
        <f aca="false">IF(AND($P85="高",$AG85=0,OR($F85&lt;&gt;"原始數據",$T85&lt;&gt;1)),1,0)</f>
        <v>0</v>
      </c>
      <c r="AI85" s="53" t="str">
        <f aca="false">IF(AND($P85="高",ISNUMBER($AF85)),INDEX(IDX_SrcDate,$AF85),"—")</f>
        <v>—</v>
      </c>
      <c r="AJ85" s="104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6" t="s">
        <v>3393</v>
      </c>
      <c r="B86" s="215" t="s">
        <v>3183</v>
      </c>
      <c r="C86" s="36" t="s">
        <v>3341</v>
      </c>
      <c r="D86" s="36" t="s">
        <v>3069</v>
      </c>
      <c r="E86" s="19" t="s">
        <v>164</v>
      </c>
      <c r="F86" s="215" t="s">
        <v>298</v>
      </c>
      <c r="G86" s="215" t="s">
        <v>3185</v>
      </c>
      <c r="H86" s="36" t="s">
        <v>3361</v>
      </c>
      <c r="I86" s="19" t="s">
        <v>3220</v>
      </c>
      <c r="J86" s="36" t="s">
        <v>587</v>
      </c>
      <c r="K86" s="215"/>
      <c r="L86" s="215"/>
      <c r="M86" s="36" t="s">
        <v>587</v>
      </c>
      <c r="N86" s="19" t="s">
        <v>3318</v>
      </c>
      <c r="O86" s="6" t="s">
        <v>587</v>
      </c>
      <c r="P86" s="215" t="s">
        <v>3188</v>
      </c>
      <c r="Q86" s="41" t="n">
        <f aca="false">Spec_Rack!E10</f>
        <v>140</v>
      </c>
      <c r="R86" s="185" t="n">
        <f aca="false">SRC_HW_005_Hi</f>
        <v>140</v>
      </c>
      <c r="S86" s="35" t="str">
        <f aca="false">IF(ISNUMBER($AF86),INDEX(IDX_SrcStat,$AF86),"—")</f>
        <v>Active</v>
      </c>
      <c r="T86" s="35" t="n">
        <f aca="false">IF(ISNUMBER($AF86),INDEX(IDX_SrcGrade,$AF86),"—")</f>
        <v>2</v>
      </c>
      <c r="U86" s="35" t="s">
        <v>3222</v>
      </c>
      <c r="V86" s="186" t="n">
        <f aca="false">IF(AND($F86="原始數據",$U86&lt;&gt;"連結 SRC"),1,0)</f>
        <v>0</v>
      </c>
      <c r="W86" s="186" t="n">
        <f aca="false">IF(AND($F86="Analogy",OR($H86="—",$H86="")),1,0)</f>
        <v>0</v>
      </c>
      <c r="X86" s="186" t="n">
        <f aca="false">IF(AND(OR($F86="Analogy",$F86="Assumed"),$G86&lt;&gt;"低",$G86&lt;&gt;"高",NOT(ISNUMBER($K86)),NOT(ISNUMBER($L86)),OR($M86="—",$M86="")),1,0)</f>
        <v>0</v>
      </c>
      <c r="Y86" s="186" t="n">
        <f aca="false">IF(AND(OR($F86="Analogy",$F86="Assumed",$F86="Derived（待改公式）",$F86="Derived（公式）"),OR($N86="—",$N86="",$N86=0)),1,0)</f>
        <v>0</v>
      </c>
      <c r="Z86" s="186" t="n">
        <f aca="false">IF(AND($F86="Decision",OR($J86="—",$J86="")),1,0)</f>
        <v>0</v>
      </c>
      <c r="AA86" s="183" t="n">
        <f aca="false">IF(OR($J86="—",$J86=""),0,IF(COUNTIF(Decisions!$A$5:$A$300,$J86)=0,1,0))</f>
        <v>0</v>
      </c>
      <c r="AB86" s="186" t="n">
        <f aca="false">IF(AND($F86="原始數據",$S86&lt;&gt;"Active"),1,0)</f>
        <v>0</v>
      </c>
      <c r="AC86" s="186" t="n">
        <f aca="false">IF(AND(ISNUMBER($K86),ISNUMBER($L86),ISNUMBER($Q86)),IF(OR($Q86&lt;MIN($K86,$L86),$Q86&gt;MAX($K86,$L86)),1,0),0)</f>
        <v>0</v>
      </c>
      <c r="AD86" s="186" t="n">
        <f aca="false">IF(AND(ISNUMBER($T86),$P86="高"),IF($T86=3,1,0),0)</f>
        <v>0</v>
      </c>
      <c r="AE86" s="186" t="n">
        <f aca="false">IF($S86="不存在",1,0)</f>
        <v>0</v>
      </c>
      <c r="AF86" s="35" t="n">
        <f aca="false">IF(OR($H86="—",$H86=""),"—",MATCH($H86,IDX_SrcID,0))</f>
        <v>5</v>
      </c>
      <c r="AG86" s="104" t="n">
        <f aca="false">IF(AND($P86="高",OR($AD86=1,$X86=1)),1,0)</f>
        <v>0</v>
      </c>
      <c r="AH86" s="104" t="n">
        <f aca="false">IF(AND($P86="高",$AG86=0,OR($F86&lt;&gt;"原始數據",$T86&lt;&gt;1)),1,0)</f>
        <v>0</v>
      </c>
      <c r="AI86" s="53" t="str">
        <f aca="false">IF(AND($P86="高",ISNUMBER($AF86)),INDEX(IDX_SrcDate,$AF86),"—")</f>
        <v>—</v>
      </c>
      <c r="AJ86" s="104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6" t="s">
        <v>3394</v>
      </c>
      <c r="B87" s="215" t="s">
        <v>3183</v>
      </c>
      <c r="C87" s="36" t="s">
        <v>3341</v>
      </c>
      <c r="D87" s="36" t="s">
        <v>3205</v>
      </c>
      <c r="E87" s="19" t="s">
        <v>164</v>
      </c>
      <c r="F87" s="215" t="s">
        <v>298</v>
      </c>
      <c r="G87" s="215" t="s">
        <v>3185</v>
      </c>
      <c r="H87" s="36" t="s">
        <v>3395</v>
      </c>
      <c r="I87" s="19" t="s">
        <v>3220</v>
      </c>
      <c r="J87" s="36" t="s">
        <v>587</v>
      </c>
      <c r="K87" s="215"/>
      <c r="L87" s="215"/>
      <c r="M87" s="36" t="s">
        <v>587</v>
      </c>
      <c r="N87" s="19" t="s">
        <v>3318</v>
      </c>
      <c r="O87" s="6" t="s">
        <v>587</v>
      </c>
      <c r="P87" s="215" t="s">
        <v>3188</v>
      </c>
      <c r="Q87" s="41" t="n">
        <f aca="false">Spec_Rack!F10</f>
        <v>230</v>
      </c>
      <c r="R87" s="185" t="n">
        <f aca="false">SRC_HW_012</f>
        <v>230</v>
      </c>
      <c r="S87" s="35" t="str">
        <f aca="false">IF(ISNUMBER($AF87),INDEX(IDX_SrcStat,$AF87),"—")</f>
        <v>Active</v>
      </c>
      <c r="T87" s="35" t="n">
        <f aca="false">IF(ISNUMBER($AF87),INDEX(IDX_SrcGrade,$AF87),"—")</f>
        <v>3</v>
      </c>
      <c r="U87" s="35" t="s">
        <v>3222</v>
      </c>
      <c r="V87" s="186" t="n">
        <f aca="false">IF(AND($F87="原始數據",$U87&lt;&gt;"連結 SRC"),1,0)</f>
        <v>0</v>
      </c>
      <c r="W87" s="186" t="n">
        <f aca="false">IF(AND($F87="Analogy",OR($H87="—",$H87="")),1,0)</f>
        <v>0</v>
      </c>
      <c r="X87" s="186" t="n">
        <f aca="false">IF(AND(OR($F87="Analogy",$F87="Assumed"),$G87&lt;&gt;"低",$G87&lt;&gt;"高",NOT(ISNUMBER($K87)),NOT(ISNUMBER($L87)),OR($M87="—",$M87="")),1,0)</f>
        <v>0</v>
      </c>
      <c r="Y87" s="186" t="n">
        <f aca="false">IF(AND(OR($F87="Analogy",$F87="Assumed",$F87="Derived（待改公式）",$F87="Derived（公式）"),OR($N87="—",$N87="",$N87=0)),1,0)</f>
        <v>0</v>
      </c>
      <c r="Z87" s="186" t="n">
        <f aca="false">IF(AND($F87="Decision",OR($J87="—",$J87="")),1,0)</f>
        <v>0</v>
      </c>
      <c r="AA87" s="183" t="n">
        <f aca="false">IF(OR($J87="—",$J87=""),0,IF(COUNTIF(Decisions!$A$5:$A$300,$J87)=0,1,0))</f>
        <v>0</v>
      </c>
      <c r="AB87" s="186" t="n">
        <f aca="false">IF(AND($F87="原始數據",$S87&lt;&gt;"Active"),1,0)</f>
        <v>0</v>
      </c>
      <c r="AC87" s="186" t="n">
        <f aca="false">IF(AND(ISNUMBER($K87),ISNUMBER($L87),ISNUMBER($Q87)),IF(OR($Q87&lt;MIN($K87,$L87),$Q87&gt;MAX($K87,$L87)),1,0),0)</f>
        <v>0</v>
      </c>
      <c r="AD87" s="186" t="n">
        <f aca="false">IF(AND(ISNUMBER($T87),$P87="高"),IF($T87=3,1,0),0)</f>
        <v>0</v>
      </c>
      <c r="AE87" s="186" t="n">
        <f aca="false">IF($S87="不存在",1,0)</f>
        <v>0</v>
      </c>
      <c r="AF87" s="35" t="n">
        <f aca="false">IF(OR($H87="—",$H87=""),"—",MATCH($H87,IDX_SrcID,0))</f>
        <v>12</v>
      </c>
      <c r="AG87" s="104" t="n">
        <f aca="false">IF(AND($P87="高",OR($AD87=1,$X87=1)),1,0)</f>
        <v>0</v>
      </c>
      <c r="AH87" s="104" t="n">
        <f aca="false">IF(AND($P87="高",$AG87=0,OR($F87&lt;&gt;"原始數據",$T87&lt;&gt;1)),1,0)</f>
        <v>0</v>
      </c>
      <c r="AI87" s="53" t="str">
        <f aca="false">IF(AND($P87="高",ISNUMBER($AF87)),INDEX(IDX_SrcDate,$AF87),"—")</f>
        <v>—</v>
      </c>
      <c r="AJ87" s="104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6" t="s">
        <v>3396</v>
      </c>
      <c r="B88" s="215" t="s">
        <v>3183</v>
      </c>
      <c r="C88" s="36" t="s">
        <v>3341</v>
      </c>
      <c r="D88" s="36" t="s">
        <v>3397</v>
      </c>
      <c r="E88" s="19" t="s">
        <v>164</v>
      </c>
      <c r="F88" s="36" t="s">
        <v>258</v>
      </c>
      <c r="G88" s="215" t="s">
        <v>1116</v>
      </c>
      <c r="H88" s="36" t="s">
        <v>587</v>
      </c>
      <c r="I88" s="6" t="s">
        <v>587</v>
      </c>
      <c r="J88" s="36" t="s">
        <v>587</v>
      </c>
      <c r="K88" s="215"/>
      <c r="L88" s="215"/>
      <c r="M88" s="36" t="s">
        <v>587</v>
      </c>
      <c r="N88" s="6" t="s">
        <v>3398</v>
      </c>
      <c r="O88" s="6" t="s">
        <v>587</v>
      </c>
      <c r="P88" s="215" t="s">
        <v>3188</v>
      </c>
      <c r="Q88" s="41" t="n">
        <f aca="false">Spec_Rack!G10</f>
        <v>454</v>
      </c>
      <c r="R88" s="36" t="s">
        <v>587</v>
      </c>
      <c r="S88" s="35" t="str">
        <f aca="false">IF(ISNUMBER($AF88),INDEX(IDX_SrcStat,$AF88),"—")</f>
        <v>—</v>
      </c>
      <c r="T88" s="35" t="str">
        <f aca="false">IF(ISNUMBER($AF88),INDEX(IDX_SrcGrade,$AF88),"—")</f>
        <v>—</v>
      </c>
      <c r="U88" s="35" t="s">
        <v>3189</v>
      </c>
      <c r="V88" s="186" t="n">
        <f aca="false">IF(AND($F88="原始數據",$U88&lt;&gt;"連結 SRC"),1,0)</f>
        <v>0</v>
      </c>
      <c r="W88" s="186" t="n">
        <f aca="false">IF(AND($F88="Analogy",OR($H88="—",$H88="")),1,0)</f>
        <v>0</v>
      </c>
      <c r="X88" s="186" t="n">
        <f aca="false">IF(AND(OR($F88="Analogy",$F88="Assumed"),$G88&lt;&gt;"低",$G88&lt;&gt;"高",NOT(ISNUMBER($K88)),NOT(ISNUMBER($L88)),OR($M88="—",$M88="")),1,0)</f>
        <v>0</v>
      </c>
      <c r="Y88" s="186" t="n">
        <f aca="false">IF(AND(OR($F88="Analogy",$F88="Assumed",$F88="Derived（待改公式）",$F88="Derived（公式）"),OR($N88="—",$N88="",$N88=0)),1,0)</f>
        <v>0</v>
      </c>
      <c r="Z88" s="186" t="n">
        <f aca="false">IF(AND($F88="Decision",OR($J88="—",$J88="")),1,0)</f>
        <v>0</v>
      </c>
      <c r="AA88" s="183" t="n">
        <f aca="false">IF(OR($J88="—",$J88=""),0,IF(COUNTIF(Decisions!$A$5:$A$300,$J88)=0,1,0))</f>
        <v>0</v>
      </c>
      <c r="AB88" s="186" t="n">
        <f aca="false">IF(AND($F88="原始數據",$S88&lt;&gt;"Active"),1,0)</f>
        <v>0</v>
      </c>
      <c r="AC88" s="186" t="n">
        <f aca="false">IF(AND(ISNUMBER($K88),ISNUMBER($L88),ISNUMBER($Q88)),IF(OR($Q88&lt;MIN($K88,$L88),$Q88&gt;MAX($K88,$L88)),1,0),0)</f>
        <v>0</v>
      </c>
      <c r="AD88" s="186" t="n">
        <f aca="false">IF(AND(ISNUMBER($T88),$P88="高"),IF($T88=3,1,0),0)</f>
        <v>0</v>
      </c>
      <c r="AE88" s="186" t="n">
        <f aca="false">IF($S88="不存在",1,0)</f>
        <v>0</v>
      </c>
      <c r="AF88" s="35" t="str">
        <f aca="false">IF(OR($H88="—",$H88=""),"—",MATCH($H88,IDX_SrcID,0))</f>
        <v>—</v>
      </c>
      <c r="AG88" s="104" t="n">
        <f aca="false">IF(AND($P88="高",OR($AD88=1,$X88=1)),1,0)</f>
        <v>0</v>
      </c>
      <c r="AH88" s="104" t="n">
        <f aca="false">IF(AND($P88="高",$AG88=0,OR($F88&lt;&gt;"原始數據",$T88&lt;&gt;1)),1,0)</f>
        <v>0</v>
      </c>
      <c r="AI88" s="53" t="str">
        <f aca="false">IF(AND($P88="高",ISNUMBER($AF88)),INDEX(IDX_SrcDate,$AF88),"—")</f>
        <v>—</v>
      </c>
      <c r="AJ88" s="104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6" t="s">
        <v>3399</v>
      </c>
      <c r="B89" s="215" t="s">
        <v>3183</v>
      </c>
      <c r="C89" s="36" t="s">
        <v>3341</v>
      </c>
      <c r="D89" s="36" t="s">
        <v>3400</v>
      </c>
      <c r="E89" s="19" t="s">
        <v>165</v>
      </c>
      <c r="F89" s="215" t="s">
        <v>3370</v>
      </c>
      <c r="G89" s="215" t="s">
        <v>1115</v>
      </c>
      <c r="H89" s="36" t="s">
        <v>3401</v>
      </c>
      <c r="I89" s="19" t="s">
        <v>3402</v>
      </c>
      <c r="J89" s="36" t="s">
        <v>587</v>
      </c>
      <c r="K89" s="215"/>
      <c r="L89" s="215"/>
      <c r="M89" s="36" t="s">
        <v>587</v>
      </c>
      <c r="N89" s="19" t="s">
        <v>3403</v>
      </c>
      <c r="O89" s="6" t="s">
        <v>587</v>
      </c>
      <c r="P89" s="215" t="s">
        <v>3188</v>
      </c>
      <c r="Q89" s="178" t="n">
        <f aca="false">Spec_Rack!C11</f>
        <v>0.9</v>
      </c>
      <c r="R89" s="185" t="n">
        <f aca="false">SRC_HW_003_Lo</f>
        <v>220000</v>
      </c>
      <c r="S89" s="35" t="str">
        <f aca="false">IF(ISNUMBER($AF89),INDEX(IDX_SrcStat,$AF89),"—")</f>
        <v>Active</v>
      </c>
      <c r="T89" s="35" t="n">
        <f aca="false">IF(ISNUMBER($AF89),INDEX(IDX_SrcGrade,$AF89),"—")</f>
        <v>2</v>
      </c>
      <c r="U89" s="35" t="s">
        <v>3189</v>
      </c>
      <c r="V89" s="186" t="n">
        <f aca="false">IF(AND($F89="原始數據",$U89&lt;&gt;"連結 SRC"),1,0)</f>
        <v>0</v>
      </c>
      <c r="W89" s="186" t="n">
        <f aca="false">IF(AND($F89="Analogy",OR($H89="—",$H89="")),1,0)</f>
        <v>0</v>
      </c>
      <c r="X89" s="186" t="n">
        <f aca="false">IF(AND(OR($F89="Analogy",$F89="Assumed"),$G89&lt;&gt;"低",$G89&lt;&gt;"高",NOT(ISNUMBER($K89)),NOT(ISNUMBER($L89)),OR($M89="—",$M89="")),1,0)</f>
        <v>0</v>
      </c>
      <c r="Y89" s="186" t="n">
        <f aca="false">IF(AND(OR($F89="Analogy",$F89="Assumed",$F89="Derived（待改公式）",$F89="Derived（公式）"),OR($N89="—",$N89="",$N89=0)),1,0)</f>
        <v>0</v>
      </c>
      <c r="Z89" s="186" t="n">
        <f aca="false">IF(AND($F89="Decision",OR($J89="—",$J89="")),1,0)</f>
        <v>0</v>
      </c>
      <c r="AA89" s="183" t="n">
        <f aca="false">IF(OR($J89="—",$J89=""),0,IF(COUNTIF(Decisions!$A$5:$A$300,$J89)=0,1,0))</f>
        <v>0</v>
      </c>
      <c r="AB89" s="186" t="n">
        <f aca="false">IF(AND($F89="原始數據",$S89&lt;&gt;"Active"),1,0)</f>
        <v>0</v>
      </c>
      <c r="AC89" s="186" t="n">
        <f aca="false">IF(AND(ISNUMBER($K89),ISNUMBER($L89),ISNUMBER($Q89)),IF(OR($Q89&lt;MIN($K89,$L89),$Q89&gt;MAX($K89,$L89)),1,0),0)</f>
        <v>0</v>
      </c>
      <c r="AD89" s="186" t="n">
        <f aca="false">IF(AND(ISNUMBER($T89),$P89="高"),IF($T89=3,1,0),0)</f>
        <v>0</v>
      </c>
      <c r="AE89" s="186" t="n">
        <f aca="false">IF($S89="不存在",1,0)</f>
        <v>0</v>
      </c>
      <c r="AF89" s="35" t="n">
        <f aca="false">IF(OR($H89="—",$H89=""),"—",MATCH($H89,IDX_SrcID,0))</f>
        <v>3</v>
      </c>
      <c r="AG89" s="104" t="n">
        <f aca="false">IF(AND($P89="高",OR($AD89=1,$X89=1)),1,0)</f>
        <v>0</v>
      </c>
      <c r="AH89" s="104" t="n">
        <f aca="false">IF(AND($P89="高",$AG89=0,OR($F89&lt;&gt;"原始數據",$T89&lt;&gt;1)),1,0)</f>
        <v>0</v>
      </c>
      <c r="AI89" s="53" t="str">
        <f aca="false">IF(AND($P89="高",ISNUMBER($AF89)),INDEX(IDX_SrcDate,$AF89),"—")</f>
        <v>—</v>
      </c>
      <c r="AJ89" s="104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6" t="s">
        <v>3404</v>
      </c>
      <c r="B90" s="215" t="s">
        <v>3183</v>
      </c>
      <c r="C90" s="36" t="s">
        <v>3341</v>
      </c>
      <c r="D90" s="36" t="s">
        <v>3210</v>
      </c>
      <c r="E90" s="19" t="s">
        <v>165</v>
      </c>
      <c r="F90" s="215" t="s">
        <v>298</v>
      </c>
      <c r="G90" s="215" t="s">
        <v>3185</v>
      </c>
      <c r="H90" s="36" t="s">
        <v>3405</v>
      </c>
      <c r="I90" s="19" t="s">
        <v>3220</v>
      </c>
      <c r="J90" s="36" t="s">
        <v>587</v>
      </c>
      <c r="K90" s="215"/>
      <c r="L90" s="215"/>
      <c r="M90" s="36" t="s">
        <v>587</v>
      </c>
      <c r="N90" s="19" t="s">
        <v>3406</v>
      </c>
      <c r="O90" s="6" t="s">
        <v>587</v>
      </c>
      <c r="P90" s="215" t="s">
        <v>3188</v>
      </c>
      <c r="Q90" s="178" t="n">
        <f aca="false">Spec_Rack!D11</f>
        <v>2.8</v>
      </c>
      <c r="R90" s="185" t="n">
        <f aca="false">SRC_HW_006_Lo</f>
        <v>2.8</v>
      </c>
      <c r="S90" s="35" t="str">
        <f aca="false">IF(ISNUMBER($AF90),INDEX(IDX_SrcStat,$AF90),"—")</f>
        <v>Active</v>
      </c>
      <c r="T90" s="35" t="n">
        <f aca="false">IF(ISNUMBER($AF90),INDEX(IDX_SrcGrade,$AF90),"—")</f>
        <v>2</v>
      </c>
      <c r="U90" s="35" t="s">
        <v>3222</v>
      </c>
      <c r="V90" s="186" t="n">
        <f aca="false">IF(AND($F90="原始數據",$U90&lt;&gt;"連結 SRC"),1,0)</f>
        <v>0</v>
      </c>
      <c r="W90" s="186" t="n">
        <f aca="false">IF(AND($F90="Analogy",OR($H90="—",$H90="")),1,0)</f>
        <v>0</v>
      </c>
      <c r="X90" s="186" t="n">
        <f aca="false">IF(AND(OR($F90="Analogy",$F90="Assumed"),$G90&lt;&gt;"低",$G90&lt;&gt;"高",NOT(ISNUMBER($K90)),NOT(ISNUMBER($L90)),OR($M90="—",$M90="")),1,0)</f>
        <v>0</v>
      </c>
      <c r="Y90" s="186" t="n">
        <f aca="false">IF(AND(OR($F90="Analogy",$F90="Assumed",$F90="Derived（待改公式）",$F90="Derived（公式）"),OR($N90="—",$N90="",$N90=0)),1,0)</f>
        <v>0</v>
      </c>
      <c r="Z90" s="186" t="n">
        <f aca="false">IF(AND($F90="Decision",OR($J90="—",$J90="")),1,0)</f>
        <v>0</v>
      </c>
      <c r="AA90" s="183" t="n">
        <f aca="false">IF(OR($J90="—",$J90=""),0,IF(COUNTIF(Decisions!$A$5:$A$300,$J90)=0,1,0))</f>
        <v>0</v>
      </c>
      <c r="AB90" s="186" t="n">
        <f aca="false">IF(AND($F90="原始數據",$S90&lt;&gt;"Active"),1,0)</f>
        <v>0</v>
      </c>
      <c r="AC90" s="186" t="n">
        <f aca="false">IF(AND(ISNUMBER($K90),ISNUMBER($L90),ISNUMBER($Q90)),IF(OR($Q90&lt;MIN($K90,$L90),$Q90&gt;MAX($K90,$L90)),1,0),0)</f>
        <v>0</v>
      </c>
      <c r="AD90" s="186" t="n">
        <f aca="false">IF(AND(ISNUMBER($T90),$P90="高"),IF($T90=3,1,0),0)</f>
        <v>0</v>
      </c>
      <c r="AE90" s="186" t="n">
        <f aca="false">IF($S90="不存在",1,0)</f>
        <v>0</v>
      </c>
      <c r="AF90" s="35" t="n">
        <f aca="false">IF(OR($H90="—",$H90=""),"—",MATCH($H90,IDX_SrcID,0))</f>
        <v>6</v>
      </c>
      <c r="AG90" s="104" t="n">
        <f aca="false">IF(AND($P90="高",OR($AD90=1,$X90=1)),1,0)</f>
        <v>0</v>
      </c>
      <c r="AH90" s="104" t="n">
        <f aca="false">IF(AND($P90="高",$AG90=0,OR($F90&lt;&gt;"原始數據",$T90&lt;&gt;1)),1,0)</f>
        <v>0</v>
      </c>
      <c r="AI90" s="53" t="str">
        <f aca="false">IF(AND($P90="高",ISNUMBER($AF90)),INDEX(IDX_SrcDate,$AF90),"—")</f>
        <v>—</v>
      </c>
      <c r="AJ90" s="104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6" t="s">
        <v>3407</v>
      </c>
      <c r="B91" s="215" t="s">
        <v>3183</v>
      </c>
      <c r="C91" s="36" t="s">
        <v>3341</v>
      </c>
      <c r="D91" s="36" t="s">
        <v>3072</v>
      </c>
      <c r="E91" s="19" t="s">
        <v>165</v>
      </c>
      <c r="F91" s="215" t="s">
        <v>298</v>
      </c>
      <c r="G91" s="215" t="s">
        <v>3185</v>
      </c>
      <c r="H91" s="36" t="s">
        <v>3408</v>
      </c>
      <c r="I91" s="19" t="s">
        <v>3220</v>
      </c>
      <c r="J91" s="36" t="s">
        <v>587</v>
      </c>
      <c r="K91" s="215"/>
      <c r="L91" s="215"/>
      <c r="M91" s="36" t="s">
        <v>587</v>
      </c>
      <c r="N91" s="19" t="s">
        <v>3406</v>
      </c>
      <c r="O91" s="6" t="s">
        <v>587</v>
      </c>
      <c r="P91" s="215" t="s">
        <v>3188</v>
      </c>
      <c r="Q91" s="178" t="n">
        <f aca="false">Spec_Rack!E11</f>
        <v>4</v>
      </c>
      <c r="R91" s="185" t="n">
        <f aca="false">SRC_HW_052</f>
        <v>4</v>
      </c>
      <c r="S91" s="35" t="str">
        <f aca="false">IF(ISNUMBER($AF91),INDEX(IDX_SrcStat,$AF91),"—")</f>
        <v>Active</v>
      </c>
      <c r="T91" s="35" t="n">
        <f aca="false">IF(ISNUMBER($AF91),INDEX(IDX_SrcGrade,$AF91),"—")</f>
        <v>3</v>
      </c>
      <c r="U91" s="35" t="s">
        <v>3222</v>
      </c>
      <c r="V91" s="186" t="n">
        <f aca="false">IF(AND($F91="原始數據",$U91&lt;&gt;"連結 SRC"),1,0)</f>
        <v>0</v>
      </c>
      <c r="W91" s="186" t="n">
        <f aca="false">IF(AND($F91="Analogy",OR($H91="—",$H91="")),1,0)</f>
        <v>0</v>
      </c>
      <c r="X91" s="186" t="n">
        <f aca="false">IF(AND(OR($F91="Analogy",$F91="Assumed"),$G91&lt;&gt;"低",$G91&lt;&gt;"高",NOT(ISNUMBER($K91)),NOT(ISNUMBER($L91)),OR($M91="—",$M91="")),1,0)</f>
        <v>0</v>
      </c>
      <c r="Y91" s="186" t="n">
        <f aca="false">IF(AND(OR($F91="Analogy",$F91="Assumed",$F91="Derived（待改公式）",$F91="Derived（公式）"),OR($N91="—",$N91="",$N91=0)),1,0)</f>
        <v>0</v>
      </c>
      <c r="Z91" s="186" t="n">
        <f aca="false">IF(AND($F91="Decision",OR($J91="—",$J91="")),1,0)</f>
        <v>0</v>
      </c>
      <c r="AA91" s="183" t="n">
        <f aca="false">IF(OR($J91="—",$J91=""),0,IF(COUNTIF(Decisions!$A$5:$A$300,$J91)=0,1,0))</f>
        <v>0</v>
      </c>
      <c r="AB91" s="186" t="n">
        <f aca="false">IF(AND($F91="原始數據",$S91&lt;&gt;"Active"),1,0)</f>
        <v>0</v>
      </c>
      <c r="AC91" s="186" t="n">
        <f aca="false">IF(AND(ISNUMBER($K91),ISNUMBER($L91),ISNUMBER($Q91)),IF(OR($Q91&lt;MIN($K91,$L91),$Q91&gt;MAX($K91,$L91)),1,0),0)</f>
        <v>0</v>
      </c>
      <c r="AD91" s="186" t="n">
        <f aca="false">IF(AND(ISNUMBER($T91),$P91="高"),IF($T91=3,1,0),0)</f>
        <v>0</v>
      </c>
      <c r="AE91" s="186" t="n">
        <f aca="false">IF($S91="不存在",1,0)</f>
        <v>0</v>
      </c>
      <c r="AF91" s="35" t="n">
        <f aca="false">IF(OR($H91="—",$H91=""),"—",MATCH($H91,IDX_SrcID,0))</f>
        <v>52</v>
      </c>
      <c r="AG91" s="104" t="n">
        <f aca="false">IF(AND($P91="高",OR($AD91=1,$X91=1)),1,0)</f>
        <v>0</v>
      </c>
      <c r="AH91" s="104" t="n">
        <f aca="false">IF(AND($P91="高",$AG91=0,OR($F91&lt;&gt;"原始數據",$T91&lt;&gt;1)),1,0)</f>
        <v>0</v>
      </c>
      <c r="AI91" s="53" t="str">
        <f aca="false">IF(AND($P91="高",ISNUMBER($AF91)),INDEX(IDX_SrcDate,$AF91),"—")</f>
        <v>—</v>
      </c>
      <c r="AJ91" s="104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6" t="s">
        <v>3409</v>
      </c>
      <c r="B92" s="215" t="s">
        <v>3183</v>
      </c>
      <c r="C92" s="36" t="s">
        <v>3341</v>
      </c>
      <c r="D92" s="36" t="s">
        <v>3212</v>
      </c>
      <c r="E92" s="19" t="s">
        <v>165</v>
      </c>
      <c r="F92" s="215" t="s">
        <v>258</v>
      </c>
      <c r="G92" s="215" t="s">
        <v>1115</v>
      </c>
      <c r="H92" s="36" t="s">
        <v>3410</v>
      </c>
      <c r="I92" s="19" t="s">
        <v>3411</v>
      </c>
      <c r="J92" s="36" t="s">
        <v>587</v>
      </c>
      <c r="K92" s="215"/>
      <c r="L92" s="215"/>
      <c r="M92" s="36" t="s">
        <v>587</v>
      </c>
      <c r="N92" s="19" t="s">
        <v>3412</v>
      </c>
      <c r="O92" s="19" t="s">
        <v>3413</v>
      </c>
      <c r="P92" s="215" t="s">
        <v>3188</v>
      </c>
      <c r="Q92" s="178" t="n">
        <f aca="false">Spec_Rack!F11</f>
        <v>7.8</v>
      </c>
      <c r="R92" s="185" t="n">
        <f aca="false">SRC_HW_015</f>
        <v>7.8</v>
      </c>
      <c r="S92" s="35" t="str">
        <f aca="false">IF(ISNUMBER($AF92),INDEX(IDX_SrcStat,$AF92),"—")</f>
        <v>Active</v>
      </c>
      <c r="T92" s="35" t="n">
        <f aca="false">IF(ISNUMBER($AF92),INDEX(IDX_SrcGrade,$AF92),"—")</f>
        <v>2</v>
      </c>
      <c r="U92" s="35" t="s">
        <v>3189</v>
      </c>
      <c r="V92" s="186" t="n">
        <f aca="false">IF(AND($F92="原始數據",$U92&lt;&gt;"連結 SRC"),1,0)</f>
        <v>0</v>
      </c>
      <c r="W92" s="186" t="n">
        <f aca="false">IF(AND($F92="Analogy",OR($H92="—",$H92="")),1,0)</f>
        <v>0</v>
      </c>
      <c r="X92" s="186" t="n">
        <f aca="false">IF(AND(OR($F92="Analogy",$F92="Assumed"),$G92&lt;&gt;"低",$G92&lt;&gt;"高",NOT(ISNUMBER($K92)),NOT(ISNUMBER($L92)),OR($M92="—",$M92="")),1,0)</f>
        <v>0</v>
      </c>
      <c r="Y92" s="186" t="n">
        <f aca="false">IF(AND(OR($F92="Analogy",$F92="Assumed",$F92="Derived（待改公式）",$F92="Derived（公式）"),OR($N92="—",$N92="",$N92=0)),1,0)</f>
        <v>0</v>
      </c>
      <c r="Z92" s="186" t="n">
        <f aca="false">IF(AND($F92="Decision",OR($J92="—",$J92="")),1,0)</f>
        <v>0</v>
      </c>
      <c r="AA92" s="183" t="n">
        <f aca="false">IF(OR($J92="—",$J92=""),0,IF(COUNTIF(Decisions!$A$5:$A$300,$J92)=0,1,0))</f>
        <v>0</v>
      </c>
      <c r="AB92" s="186" t="n">
        <f aca="false">IF(AND($F92="原始數據",$S92&lt;&gt;"Active"),1,0)</f>
        <v>0</v>
      </c>
      <c r="AC92" s="186" t="n">
        <f aca="false">IF(AND(ISNUMBER($K92),ISNUMBER($L92),ISNUMBER($Q92)),IF(OR($Q92&lt;MIN($K92,$L92),$Q92&gt;MAX($K92,$L92)),1,0),0)</f>
        <v>0</v>
      </c>
      <c r="AD92" s="186" t="n">
        <f aca="false">IF(AND(ISNUMBER($T92),$P92="高"),IF($T92=3,1,0),0)</f>
        <v>0</v>
      </c>
      <c r="AE92" s="186" t="n">
        <f aca="false">IF($S92="不存在",1,0)</f>
        <v>0</v>
      </c>
      <c r="AF92" s="35" t="n">
        <f aca="false">IF(OR($H92="—",$H92=""),"—",MATCH($H92,IDX_SrcID,0))</f>
        <v>15</v>
      </c>
      <c r="AG92" s="104" t="n">
        <f aca="false">IF(AND($P92="高",OR($AD92=1,$X92=1)),1,0)</f>
        <v>0</v>
      </c>
      <c r="AH92" s="104" t="n">
        <f aca="false">IF(AND($P92="高",$AG92=0,OR($F92&lt;&gt;"原始數據",$T92&lt;&gt;1)),1,0)</f>
        <v>0</v>
      </c>
      <c r="AI92" s="53" t="str">
        <f aca="false">IF(AND($P92="高",ISNUMBER($AF92)),INDEX(IDX_SrcDate,$AF92),"—")</f>
        <v>—</v>
      </c>
      <c r="AJ92" s="104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6" t="s">
        <v>3414</v>
      </c>
      <c r="B93" s="215" t="s">
        <v>3183</v>
      </c>
      <c r="C93" s="36" t="s">
        <v>3341</v>
      </c>
      <c r="D93" s="36" t="s">
        <v>3415</v>
      </c>
      <c r="E93" s="19" t="s">
        <v>165</v>
      </c>
      <c r="F93" s="36" t="s">
        <v>80</v>
      </c>
      <c r="G93" s="215" t="s">
        <v>1115</v>
      </c>
      <c r="H93" s="36" t="s">
        <v>587</v>
      </c>
      <c r="I93" s="6" t="s">
        <v>587</v>
      </c>
      <c r="J93" s="36" t="s">
        <v>587</v>
      </c>
      <c r="K93" s="215"/>
      <c r="L93" s="215"/>
      <c r="M93" s="36" t="s">
        <v>587</v>
      </c>
      <c r="N93" s="6" t="s">
        <v>3416</v>
      </c>
      <c r="O93" s="6" t="s">
        <v>3417</v>
      </c>
      <c r="P93" s="215" t="s">
        <v>3188</v>
      </c>
      <c r="Q93" s="178" t="n">
        <f aca="false">Spec_Rack!G11</f>
        <v>12.6</v>
      </c>
      <c r="R93" s="36" t="s">
        <v>587</v>
      </c>
      <c r="S93" s="35" t="str">
        <f aca="false">IF(ISNUMBER($AF93),INDEX(IDX_SrcStat,$AF93),"—")</f>
        <v>—</v>
      </c>
      <c r="T93" s="35" t="str">
        <f aca="false">IF(ISNUMBER($AF93),INDEX(IDX_SrcGrade,$AF93),"—")</f>
        <v>—</v>
      </c>
      <c r="U93" s="35" t="s">
        <v>3418</v>
      </c>
      <c r="V93" s="186" t="n">
        <f aca="false">IF(AND($F93="原始數據",$U93&lt;&gt;"連結 SRC"),1,0)</f>
        <v>0</v>
      </c>
      <c r="W93" s="186" t="n">
        <f aca="false">IF(AND($F93="Analogy",OR($H93="—",$H93="")),1,0)</f>
        <v>0</v>
      </c>
      <c r="X93" s="186" t="n">
        <f aca="false">IF(AND(OR($F93="Analogy",$F93="Assumed"),$G93&lt;&gt;"低",$G93&lt;&gt;"高",NOT(ISNUMBER($K93)),NOT(ISNUMBER($L93)),OR($M93="—",$M93="")),1,0)</f>
        <v>0</v>
      </c>
      <c r="Y93" s="186" t="n">
        <f aca="false">IF(AND(OR($F93="Analogy",$F93="Assumed",$F93="Derived（待改公式）",$F93="Derived（公式）"),OR($N93="—",$N93="",$N93=0)),1,0)</f>
        <v>0</v>
      </c>
      <c r="Z93" s="186" t="n">
        <f aca="false">IF(AND($F93="Decision",OR($J93="—",$J93="")),1,0)</f>
        <v>0</v>
      </c>
      <c r="AA93" s="183" t="n">
        <f aca="false">IF(OR($J93="—",$J93=""),0,IF(COUNTIF(Decisions!$A$5:$A$300,$J93)=0,1,0))</f>
        <v>0</v>
      </c>
      <c r="AB93" s="186" t="n">
        <f aca="false">IF(AND($F93="原始數據",$S93&lt;&gt;"Active"),1,0)</f>
        <v>0</v>
      </c>
      <c r="AC93" s="186" t="n">
        <f aca="false">IF(AND(ISNUMBER($K93),ISNUMBER($L93),ISNUMBER($Q93)),IF(OR($Q93&lt;MIN($K93,$L93),$Q93&gt;MAX($K93,$L93)),1,0),0)</f>
        <v>0</v>
      </c>
      <c r="AD93" s="186" t="n">
        <f aca="false">IF(AND(ISNUMBER($T93),$P93="高"),IF($T93=3,1,0),0)</f>
        <v>0</v>
      </c>
      <c r="AE93" s="186" t="n">
        <f aca="false">IF($S93="不存在",1,0)</f>
        <v>0</v>
      </c>
      <c r="AF93" s="35" t="str">
        <f aca="false">IF(OR($H93="—",$H93=""),"—",MATCH($H93,IDX_SrcID,0))</f>
        <v>—</v>
      </c>
      <c r="AG93" s="104" t="n">
        <f aca="false">IF(AND($P93="高",OR($AD93=1,$X93=1)),1,0)</f>
        <v>0</v>
      </c>
      <c r="AH93" s="104" t="n">
        <f aca="false">IF(AND($P93="高",$AG93=0,OR($F93&lt;&gt;"原始數據",$T93&lt;&gt;1)),1,0)</f>
        <v>0</v>
      </c>
      <c r="AI93" s="53" t="str">
        <f aca="false">IF(AND($P93="高",ISNUMBER($AF93)),INDEX(IDX_SrcDate,$AF93),"—")</f>
        <v>—</v>
      </c>
      <c r="AJ93" s="104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6" t="s">
        <v>3419</v>
      </c>
      <c r="B94" s="215" t="s">
        <v>3183</v>
      </c>
      <c r="C94" s="36" t="s">
        <v>3341</v>
      </c>
      <c r="D94" s="36" t="s">
        <v>3420</v>
      </c>
      <c r="E94" s="19" t="s">
        <v>166</v>
      </c>
      <c r="F94" s="215" t="s">
        <v>3370</v>
      </c>
      <c r="G94" s="215" t="s">
        <v>65</v>
      </c>
      <c r="H94" s="36" t="s">
        <v>3401</v>
      </c>
      <c r="I94" s="19" t="s">
        <v>3421</v>
      </c>
      <c r="J94" s="36" t="s">
        <v>587</v>
      </c>
      <c r="K94" s="178" t="n">
        <f aca="false">Spec_Rack!C11</f>
        <v>0.9</v>
      </c>
      <c r="L94" s="178" t="n">
        <f aca="false">Spec_Rack!C13</f>
        <v>1.3</v>
      </c>
      <c r="M94" s="36" t="s">
        <v>587</v>
      </c>
      <c r="N94" s="19" t="s">
        <v>3422</v>
      </c>
      <c r="O94" s="6" t="s">
        <v>587</v>
      </c>
      <c r="P94" s="215" t="s">
        <v>1116</v>
      </c>
      <c r="Q94" s="178" t="n">
        <f aca="false">Spec_Rack!C12</f>
        <v>1.1</v>
      </c>
      <c r="R94" s="185" t="n">
        <f aca="false">SRC_HW_003_Lo</f>
        <v>220000</v>
      </c>
      <c r="S94" s="35" t="str">
        <f aca="false">IF(ISNUMBER($AF94),INDEX(IDX_SrcStat,$AF94),"—")</f>
        <v>Active</v>
      </c>
      <c r="T94" s="35" t="n">
        <f aca="false">IF(ISNUMBER($AF94),INDEX(IDX_SrcGrade,$AF94),"—")</f>
        <v>2</v>
      </c>
      <c r="U94" s="35" t="s">
        <v>3189</v>
      </c>
      <c r="V94" s="186" t="n">
        <f aca="false">IF(AND($F94="原始數據",$U94&lt;&gt;"連結 SRC"),1,0)</f>
        <v>0</v>
      </c>
      <c r="W94" s="186" t="n">
        <f aca="false">IF(AND($F94="Analogy",OR($H94="—",$H94="")),1,0)</f>
        <v>0</v>
      </c>
      <c r="X94" s="186" t="n">
        <f aca="false">IF(AND(OR($F94="Analogy",$F94="Assumed"),$G94&lt;&gt;"低",$G94&lt;&gt;"高",NOT(ISNUMBER($K94)),NOT(ISNUMBER($L94)),OR($M94="—",$M94="")),1,0)</f>
        <v>0</v>
      </c>
      <c r="Y94" s="186" t="n">
        <f aca="false">IF(AND(OR($F94="Analogy",$F94="Assumed",$F94="Derived（待改公式）",$F94="Derived（公式）"),OR($N94="—",$N94="",$N94=0)),1,0)</f>
        <v>0</v>
      </c>
      <c r="Z94" s="186" t="n">
        <f aca="false">IF(AND($F94="Decision",OR($J94="—",$J94="")),1,0)</f>
        <v>0</v>
      </c>
      <c r="AA94" s="183" t="n">
        <f aca="false">IF(OR($J94="—",$J94=""),0,IF(COUNTIF(Decisions!$A$5:$A$300,$J94)=0,1,0))</f>
        <v>0</v>
      </c>
      <c r="AB94" s="186" t="n">
        <f aca="false">IF(AND($F94="原始數據",$S94&lt;&gt;"Active"),1,0)</f>
        <v>0</v>
      </c>
      <c r="AC94" s="186" t="n">
        <f aca="false">IF(AND(ISNUMBER($K94),ISNUMBER($L94),ISNUMBER($Q94)),IF(OR($Q94&lt;MIN($K94,$L94),$Q94&gt;MAX($K94,$L94)),1,0),0)</f>
        <v>0</v>
      </c>
      <c r="AD94" s="186" t="n">
        <f aca="false">IF(AND(ISNUMBER($T94),$P94="高"),IF($T94=3,1,0),0)</f>
        <v>0</v>
      </c>
      <c r="AE94" s="186" t="n">
        <f aca="false">IF($S94="不存在",1,0)</f>
        <v>0</v>
      </c>
      <c r="AF94" s="35" t="n">
        <f aca="false">IF(OR($H94="—",$H94=""),"—",MATCH($H94,IDX_SrcID,0))</f>
        <v>3</v>
      </c>
      <c r="AG94" s="104" t="n">
        <f aca="false">IF(AND($P94="高",OR($AD94=1,$X94=1)),1,0)</f>
        <v>0</v>
      </c>
      <c r="AH94" s="104" t="n">
        <f aca="false">IF(AND($P94="高",$AG94=0,OR($F94&lt;&gt;"原始數據",$T94&lt;&gt;1)),1,0)</f>
        <v>1</v>
      </c>
      <c r="AI94" s="53" t="str">
        <f aca="false">IF(AND($P94="高",ISNUMBER($AF94)),INDEX(IDX_SrcDate,$AF94),"—")</f>
        <v>2026-10-05</v>
      </c>
      <c r="AJ94" s="104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6" t="s">
        <v>3423</v>
      </c>
      <c r="B95" s="215" t="s">
        <v>3183</v>
      </c>
      <c r="C95" s="36" t="s">
        <v>3341</v>
      </c>
      <c r="D95" s="36" t="s">
        <v>3424</v>
      </c>
      <c r="E95" s="19" t="s">
        <v>166</v>
      </c>
      <c r="F95" s="215" t="s">
        <v>3370</v>
      </c>
      <c r="G95" s="215" t="s">
        <v>65</v>
      </c>
      <c r="H95" s="36" t="s">
        <v>3405</v>
      </c>
      <c r="I95" s="19" t="s">
        <v>3425</v>
      </c>
      <c r="J95" s="36" t="s">
        <v>587</v>
      </c>
      <c r="K95" s="178" t="n">
        <f aca="false">Spec_Rack!D11</f>
        <v>2.8</v>
      </c>
      <c r="L95" s="178" t="n">
        <f aca="false">Spec_Rack!D13</f>
        <v>3.4</v>
      </c>
      <c r="M95" s="36" t="s">
        <v>587</v>
      </c>
      <c r="N95" s="19" t="s">
        <v>3426</v>
      </c>
      <c r="O95" s="6" t="s">
        <v>587</v>
      </c>
      <c r="P95" s="215" t="s">
        <v>1116</v>
      </c>
      <c r="Q95" s="178" t="n">
        <f aca="false">Spec_Rack!D12</f>
        <v>3.1</v>
      </c>
      <c r="R95" s="185" t="n">
        <f aca="false">SRC_HW_006_Lo</f>
        <v>2.8</v>
      </c>
      <c r="S95" s="35" t="str">
        <f aca="false">IF(ISNUMBER($AF95),INDEX(IDX_SrcStat,$AF95),"—")</f>
        <v>Active</v>
      </c>
      <c r="T95" s="35" t="n">
        <f aca="false">IF(ISNUMBER($AF95),INDEX(IDX_SrcGrade,$AF95),"—")</f>
        <v>2</v>
      </c>
      <c r="U95" s="35" t="s">
        <v>3189</v>
      </c>
      <c r="V95" s="186" t="n">
        <f aca="false">IF(AND($F95="原始數據",$U95&lt;&gt;"連結 SRC"),1,0)</f>
        <v>0</v>
      </c>
      <c r="W95" s="186" t="n">
        <f aca="false">IF(AND($F95="Analogy",OR($H95="—",$H95="")),1,0)</f>
        <v>0</v>
      </c>
      <c r="X95" s="186" t="n">
        <f aca="false">IF(AND(OR($F95="Analogy",$F95="Assumed"),$G95&lt;&gt;"低",$G95&lt;&gt;"高",NOT(ISNUMBER($K95)),NOT(ISNUMBER($L95)),OR($M95="—",$M95="")),1,0)</f>
        <v>0</v>
      </c>
      <c r="Y95" s="186" t="n">
        <f aca="false">IF(AND(OR($F95="Analogy",$F95="Assumed",$F95="Derived（待改公式）",$F95="Derived（公式）"),OR($N95="—",$N95="",$N95=0)),1,0)</f>
        <v>0</v>
      </c>
      <c r="Z95" s="186" t="n">
        <f aca="false">IF(AND($F95="Decision",OR($J95="—",$J95="")),1,0)</f>
        <v>0</v>
      </c>
      <c r="AA95" s="183" t="n">
        <f aca="false">IF(OR($J95="—",$J95=""),0,IF(COUNTIF(Decisions!$A$5:$A$300,$J95)=0,1,0))</f>
        <v>0</v>
      </c>
      <c r="AB95" s="186" t="n">
        <f aca="false">IF(AND($F95="原始數據",$S95&lt;&gt;"Active"),1,0)</f>
        <v>0</v>
      </c>
      <c r="AC95" s="186" t="n">
        <f aca="false">IF(AND(ISNUMBER($K95),ISNUMBER($L95),ISNUMBER($Q95)),IF(OR($Q95&lt;MIN($K95,$L95),$Q95&gt;MAX($K95,$L95)),1,0),0)</f>
        <v>0</v>
      </c>
      <c r="AD95" s="186" t="n">
        <f aca="false">IF(AND(ISNUMBER($T95),$P95="高"),IF($T95=3,1,0),0)</f>
        <v>0</v>
      </c>
      <c r="AE95" s="186" t="n">
        <f aca="false">IF($S95="不存在",1,0)</f>
        <v>0</v>
      </c>
      <c r="AF95" s="35" t="n">
        <f aca="false">IF(OR($H95="—",$H95=""),"—",MATCH($H95,IDX_SrcID,0))</f>
        <v>6</v>
      </c>
      <c r="AG95" s="104" t="n">
        <f aca="false">IF(AND($P95="高",OR($AD95=1,$X95=1)),1,0)</f>
        <v>0</v>
      </c>
      <c r="AH95" s="104" t="n">
        <f aca="false">IF(AND($P95="高",$AG95=0,OR($F95&lt;&gt;"原始數據",$T95&lt;&gt;1)),1,0)</f>
        <v>1</v>
      </c>
      <c r="AI95" s="53" t="str">
        <f aca="false">IF(AND($P95="高",ISNUMBER($AF95)),INDEX(IDX_SrcDate,$AF95),"—")</f>
        <v>2026-10-05</v>
      </c>
      <c r="AJ95" s="104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6" t="s">
        <v>3427</v>
      </c>
      <c r="B96" s="215" t="s">
        <v>3183</v>
      </c>
      <c r="C96" s="36" t="s">
        <v>3341</v>
      </c>
      <c r="D96" s="36" t="s">
        <v>3075</v>
      </c>
      <c r="E96" s="19" t="s">
        <v>166</v>
      </c>
      <c r="F96" s="215" t="s">
        <v>298</v>
      </c>
      <c r="G96" s="215" t="s">
        <v>3185</v>
      </c>
      <c r="H96" s="36" t="s">
        <v>3428</v>
      </c>
      <c r="I96" s="19" t="s">
        <v>3220</v>
      </c>
      <c r="J96" s="36" t="s">
        <v>587</v>
      </c>
      <c r="K96" s="215"/>
      <c r="L96" s="215"/>
      <c r="M96" s="36" t="s">
        <v>587</v>
      </c>
      <c r="N96" s="19" t="s">
        <v>3318</v>
      </c>
      <c r="O96" s="6" t="s">
        <v>587</v>
      </c>
      <c r="P96" s="215" t="s">
        <v>1116</v>
      </c>
      <c r="Q96" s="178" t="n">
        <f aca="false">Spec_Rack!E12</f>
        <v>5</v>
      </c>
      <c r="R96" s="185" t="n">
        <f aca="false">SRC_HW_010</f>
        <v>5</v>
      </c>
      <c r="S96" s="35" t="str">
        <f aca="false">IF(ISNUMBER($AF96),INDEX(IDX_SrcStat,$AF96),"—")</f>
        <v>Active</v>
      </c>
      <c r="T96" s="35" t="n">
        <f aca="false">IF(ISNUMBER($AF96),INDEX(IDX_SrcGrade,$AF96),"—")</f>
        <v>2</v>
      </c>
      <c r="U96" s="35" t="s">
        <v>3222</v>
      </c>
      <c r="V96" s="186" t="n">
        <f aca="false">IF(AND($F96="原始數據",$U96&lt;&gt;"連結 SRC"),1,0)</f>
        <v>0</v>
      </c>
      <c r="W96" s="186" t="n">
        <f aca="false">IF(AND($F96="Analogy",OR($H96="—",$H96="")),1,0)</f>
        <v>0</v>
      </c>
      <c r="X96" s="186" t="n">
        <f aca="false">IF(AND(OR($F96="Analogy",$F96="Assumed"),$G96&lt;&gt;"低",$G96&lt;&gt;"高",NOT(ISNUMBER($K96)),NOT(ISNUMBER($L96)),OR($M96="—",$M96="")),1,0)</f>
        <v>0</v>
      </c>
      <c r="Y96" s="186" t="n">
        <f aca="false">IF(AND(OR($F96="Analogy",$F96="Assumed",$F96="Derived（待改公式）",$F96="Derived（公式）"),OR($N96="—",$N96="",$N96=0)),1,0)</f>
        <v>0</v>
      </c>
      <c r="Z96" s="186" t="n">
        <f aca="false">IF(AND($F96="Decision",OR($J96="—",$J96="")),1,0)</f>
        <v>0</v>
      </c>
      <c r="AA96" s="183" t="n">
        <f aca="false">IF(OR($J96="—",$J96=""),0,IF(COUNTIF(Decisions!$A$5:$A$300,$J96)=0,1,0))</f>
        <v>0</v>
      </c>
      <c r="AB96" s="186" t="n">
        <f aca="false">IF(AND($F96="原始數據",$S96&lt;&gt;"Active"),1,0)</f>
        <v>0</v>
      </c>
      <c r="AC96" s="186" t="n">
        <f aca="false">IF(AND(ISNUMBER($K96),ISNUMBER($L96),ISNUMBER($Q96)),IF(OR($Q96&lt;MIN($K96,$L96),$Q96&gt;MAX($K96,$L96)),1,0),0)</f>
        <v>0</v>
      </c>
      <c r="AD96" s="186" t="n">
        <f aca="false">IF(AND(ISNUMBER($T96),$P96="高"),IF($T96=3,1,0),0)</f>
        <v>0</v>
      </c>
      <c r="AE96" s="186" t="n">
        <f aca="false">IF($S96="不存在",1,0)</f>
        <v>0</v>
      </c>
      <c r="AF96" s="35" t="n">
        <f aca="false">IF(OR($H96="—",$H96=""),"—",MATCH($H96,IDX_SrcID,0))</f>
        <v>10</v>
      </c>
      <c r="AG96" s="104" t="n">
        <f aca="false">IF(AND($P96="高",OR($AD96=1,$X96=1)),1,0)</f>
        <v>0</v>
      </c>
      <c r="AH96" s="104" t="n">
        <f aca="false">IF(AND($P96="高",$AG96=0,OR($F96&lt;&gt;"原始數據",$T96&lt;&gt;1)),1,0)</f>
        <v>1</v>
      </c>
      <c r="AI96" s="53" t="str">
        <f aca="false">IF(AND($P96="高",ISNUMBER($AF96)),INDEX(IDX_SrcDate,$AF96),"—")</f>
        <v>2026-10-05</v>
      </c>
      <c r="AJ96" s="104" t="n">
        <f aca="false">IF(AND(ISTEXT($AI96),LEN($AI96)=10),IF(ISNUMBER(VALUE(SUBSTITUTE($AI96,"-",""))),VALUE(SUBSTITUTE($AI96,"-","")),0),0)</f>
        <v>20261005</v>
      </c>
    </row>
    <row r="97" customFormat="false" ht="15" hidden="false" customHeight="true" outlineLevel="0" collapsed="false">
      <c r="A97" s="36" t="s">
        <v>3429</v>
      </c>
      <c r="B97" s="215" t="s">
        <v>3183</v>
      </c>
      <c r="C97" s="36" t="s">
        <v>3341</v>
      </c>
      <c r="D97" s="36" t="s">
        <v>3430</v>
      </c>
      <c r="E97" s="19" t="s">
        <v>166</v>
      </c>
      <c r="F97" s="215" t="s">
        <v>258</v>
      </c>
      <c r="G97" s="215" t="s">
        <v>65</v>
      </c>
      <c r="H97" s="36" t="s">
        <v>3410</v>
      </c>
      <c r="I97" s="19" t="s">
        <v>3431</v>
      </c>
      <c r="J97" s="36" t="s">
        <v>587</v>
      </c>
      <c r="K97" s="219" t="n">
        <f aca="false">Spec_Rack!F11</f>
        <v>7.8</v>
      </c>
      <c r="L97" s="219" t="n">
        <f aca="false">Spec_Rack!F13</f>
        <v>9.1</v>
      </c>
      <c r="M97" s="36" t="s">
        <v>587</v>
      </c>
      <c r="N97" s="19" t="s">
        <v>3432</v>
      </c>
      <c r="O97" s="19" t="s">
        <v>3433</v>
      </c>
      <c r="P97" s="215" t="s">
        <v>1116</v>
      </c>
      <c r="Q97" s="178" t="n">
        <f aca="false">Spec_Rack!F12</f>
        <v>8.4</v>
      </c>
      <c r="R97" s="185" t="n">
        <f aca="false">SRC_HW_015</f>
        <v>7.8</v>
      </c>
      <c r="S97" s="35" t="str">
        <f aca="false">IF(ISNUMBER($AF97),INDEX(IDX_SrcStat,$AF97),"—")</f>
        <v>Active</v>
      </c>
      <c r="T97" s="35" t="n">
        <f aca="false">IF(ISNUMBER($AF97),INDEX(IDX_SrcGrade,$AF97),"—")</f>
        <v>2</v>
      </c>
      <c r="U97" s="35" t="s">
        <v>3189</v>
      </c>
      <c r="V97" s="186" t="n">
        <f aca="false">IF(AND($F97="原始數據",$U97&lt;&gt;"連結 SRC"),1,0)</f>
        <v>0</v>
      </c>
      <c r="W97" s="186" t="n">
        <f aca="false">IF(AND($F97="Analogy",OR($H97="—",$H97="")),1,0)</f>
        <v>0</v>
      </c>
      <c r="X97" s="186" t="n">
        <f aca="false">IF(AND(OR($F97="Analogy",$F97="Assumed"),$G97&lt;&gt;"低",$G97&lt;&gt;"高",NOT(ISNUMBER($K97)),NOT(ISNUMBER($L97)),OR($M97="—",$M97="")),1,0)</f>
        <v>0</v>
      </c>
      <c r="Y97" s="186" t="n">
        <f aca="false">IF(AND(OR($F97="Analogy",$F97="Assumed",$F97="Derived（待改公式）",$F97="Derived（公式）"),OR($N97="—",$N97="",$N97=0)),1,0)</f>
        <v>0</v>
      </c>
      <c r="Z97" s="186" t="n">
        <f aca="false">IF(AND($F97="Decision",OR($J97="—",$J97="")),1,0)</f>
        <v>0</v>
      </c>
      <c r="AA97" s="183" t="n">
        <f aca="false">IF(OR($J97="—",$J97=""),0,IF(COUNTIF(Decisions!$A$5:$A$300,$J97)=0,1,0))</f>
        <v>0</v>
      </c>
      <c r="AB97" s="186" t="n">
        <f aca="false">IF(AND($F97="原始數據",$S97&lt;&gt;"Active"),1,0)</f>
        <v>0</v>
      </c>
      <c r="AC97" s="186" t="n">
        <f aca="false">IF(AND(ISNUMBER($K97),ISNUMBER($L97),ISNUMBER($Q97)),IF(OR($Q97&lt;MIN($K97,$L97),$Q97&gt;MAX($K97,$L97)),1,0),0)</f>
        <v>0</v>
      </c>
      <c r="AD97" s="186" t="n">
        <f aca="false">IF(AND(ISNUMBER($T97),$P97="高"),IF($T97=3,1,0),0)</f>
        <v>0</v>
      </c>
      <c r="AE97" s="186" t="n">
        <f aca="false">IF($S97="不存在",1,0)</f>
        <v>0</v>
      </c>
      <c r="AF97" s="35" t="n">
        <f aca="false">IF(OR($H97="—",$H97=""),"—",MATCH($H97,IDX_SrcID,0))</f>
        <v>15</v>
      </c>
      <c r="AG97" s="104" t="n">
        <f aca="false">IF(AND($P97="高",OR($AD97=1,$X97=1)),1,0)</f>
        <v>0</v>
      </c>
      <c r="AH97" s="104" t="n">
        <f aca="false">IF(AND($P97="高",$AG97=0,OR($F97&lt;&gt;"原始數據",$T97&lt;&gt;1)),1,0)</f>
        <v>1</v>
      </c>
      <c r="AI97" s="53" t="str">
        <f aca="false">IF(AND($P97="高",ISNUMBER($AF97)),INDEX(IDX_SrcDate,$AF97),"—")</f>
        <v>2026-10-05</v>
      </c>
      <c r="AJ97" s="104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6" t="s">
        <v>3434</v>
      </c>
      <c r="B98" s="215" t="s">
        <v>3183</v>
      </c>
      <c r="C98" s="36" t="s">
        <v>3341</v>
      </c>
      <c r="D98" s="36" t="s">
        <v>3435</v>
      </c>
      <c r="E98" s="19" t="s">
        <v>166</v>
      </c>
      <c r="F98" s="36" t="s">
        <v>80</v>
      </c>
      <c r="G98" s="215" t="s">
        <v>65</v>
      </c>
      <c r="H98" s="36" t="s">
        <v>587</v>
      </c>
      <c r="I98" s="6" t="s">
        <v>587</v>
      </c>
      <c r="J98" s="36" t="s">
        <v>587</v>
      </c>
      <c r="K98" s="178" t="n">
        <f aca="false">Spec_Rack!G11</f>
        <v>12.6</v>
      </c>
      <c r="L98" s="178" t="n">
        <f aca="false">Spec_Rack!G13</f>
        <v>21</v>
      </c>
      <c r="M98" s="36" t="s">
        <v>587</v>
      </c>
      <c r="N98" s="6" t="s">
        <v>3436</v>
      </c>
      <c r="O98" s="6" t="s">
        <v>3417</v>
      </c>
      <c r="P98" s="215" t="s">
        <v>1116</v>
      </c>
      <c r="Q98" s="178" t="n">
        <f aca="false">Spec_Rack!G12</f>
        <v>16.8</v>
      </c>
      <c r="R98" s="36" t="s">
        <v>587</v>
      </c>
      <c r="S98" s="35" t="str">
        <f aca="false">IF(ISNUMBER($AF98),INDEX(IDX_SrcStat,$AF98),"—")</f>
        <v>—</v>
      </c>
      <c r="T98" s="35" t="str">
        <f aca="false">IF(ISNUMBER($AF98),INDEX(IDX_SrcGrade,$AF98),"—")</f>
        <v>—</v>
      </c>
      <c r="U98" s="35" t="s">
        <v>3418</v>
      </c>
      <c r="V98" s="186" t="n">
        <f aca="false">IF(AND($F98="原始數據",$U98&lt;&gt;"連結 SRC"),1,0)</f>
        <v>0</v>
      </c>
      <c r="W98" s="186" t="n">
        <f aca="false">IF(AND($F98="Analogy",OR($H98="—",$H98="")),1,0)</f>
        <v>0</v>
      </c>
      <c r="X98" s="186" t="n">
        <f aca="false">IF(AND(OR($F98="Analogy",$F98="Assumed"),$G98&lt;&gt;"低",$G98&lt;&gt;"高",NOT(ISNUMBER($K98)),NOT(ISNUMBER($L98)),OR($M98="—",$M98="")),1,0)</f>
        <v>0</v>
      </c>
      <c r="Y98" s="186" t="n">
        <f aca="false">IF(AND(OR($F98="Analogy",$F98="Assumed",$F98="Derived（待改公式）",$F98="Derived（公式）"),OR($N98="—",$N98="",$N98=0)),1,0)</f>
        <v>0</v>
      </c>
      <c r="Z98" s="186" t="n">
        <f aca="false">IF(AND($F98="Decision",OR($J98="—",$J98="")),1,0)</f>
        <v>0</v>
      </c>
      <c r="AA98" s="183" t="n">
        <f aca="false">IF(OR($J98="—",$J98=""),0,IF(COUNTIF(Decisions!$A$5:$A$300,$J98)=0,1,0))</f>
        <v>0</v>
      </c>
      <c r="AB98" s="186" t="n">
        <f aca="false">IF(AND($F98="原始數據",$S98&lt;&gt;"Active"),1,0)</f>
        <v>0</v>
      </c>
      <c r="AC98" s="186" t="n">
        <f aca="false">IF(AND(ISNUMBER($K98),ISNUMBER($L98),ISNUMBER($Q98)),IF(OR($Q98&lt;MIN($K98,$L98),$Q98&gt;MAX($K98,$L98)),1,0),0)</f>
        <v>0</v>
      </c>
      <c r="AD98" s="186" t="n">
        <f aca="false">IF(AND(ISNUMBER($T98),$P98="高"),IF($T98=3,1,0),0)</f>
        <v>0</v>
      </c>
      <c r="AE98" s="186" t="n">
        <f aca="false">IF($S98="不存在",1,0)</f>
        <v>0</v>
      </c>
      <c r="AF98" s="35" t="str">
        <f aca="false">IF(OR($H98="—",$H98=""),"—",MATCH($H98,IDX_SrcID,0))</f>
        <v>—</v>
      </c>
      <c r="AG98" s="104" t="n">
        <f aca="false">IF(AND($P98="高",OR($AD98=1,$X98=1)),1,0)</f>
        <v>0</v>
      </c>
      <c r="AH98" s="104" t="n">
        <f aca="false">IF(AND($P98="高",$AG98=0,OR($F98&lt;&gt;"原始數據",$T98&lt;&gt;1)),1,0)</f>
        <v>1</v>
      </c>
      <c r="AI98" s="53" t="str">
        <f aca="false">IF(AND($P98="高",ISNUMBER($AF98)),INDEX(IDX_SrcDate,$AF98),"—")</f>
        <v>—</v>
      </c>
      <c r="AJ98" s="104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6" t="s">
        <v>3437</v>
      </c>
      <c r="B99" s="215" t="s">
        <v>3183</v>
      </c>
      <c r="C99" s="36" t="s">
        <v>3341</v>
      </c>
      <c r="D99" s="36" t="s">
        <v>3438</v>
      </c>
      <c r="E99" s="19" t="s">
        <v>167</v>
      </c>
      <c r="F99" s="215" t="s">
        <v>3370</v>
      </c>
      <c r="G99" s="215" t="s">
        <v>1116</v>
      </c>
      <c r="H99" s="36" t="s">
        <v>3401</v>
      </c>
      <c r="I99" s="19" t="s">
        <v>3439</v>
      </c>
      <c r="J99" s="36" t="s">
        <v>587</v>
      </c>
      <c r="K99" s="215"/>
      <c r="L99" s="215"/>
      <c r="M99" s="36" t="s">
        <v>587</v>
      </c>
      <c r="N99" s="19" t="s">
        <v>3440</v>
      </c>
      <c r="O99" s="6" t="s">
        <v>587</v>
      </c>
      <c r="P99" s="215" t="s">
        <v>3188</v>
      </c>
      <c r="Q99" s="178" t="n">
        <f aca="false">Spec_Rack!C13</f>
        <v>1.3</v>
      </c>
      <c r="R99" s="185" t="n">
        <f aca="false">SRC_HW_003_Lo</f>
        <v>220000</v>
      </c>
      <c r="S99" s="35" t="str">
        <f aca="false">IF(ISNUMBER($AF99),INDEX(IDX_SrcStat,$AF99),"—")</f>
        <v>Active</v>
      </c>
      <c r="T99" s="35" t="n">
        <f aca="false">IF(ISNUMBER($AF99),INDEX(IDX_SrcGrade,$AF99),"—")</f>
        <v>2</v>
      </c>
      <c r="U99" s="35" t="s">
        <v>3189</v>
      </c>
      <c r="V99" s="186" t="n">
        <f aca="false">IF(AND($F99="原始數據",$U99&lt;&gt;"連結 SRC"),1,0)</f>
        <v>0</v>
      </c>
      <c r="W99" s="186" t="n">
        <f aca="false">IF(AND($F99="Analogy",OR($H99="—",$H99="")),1,0)</f>
        <v>0</v>
      </c>
      <c r="X99" s="186" t="n">
        <f aca="false">IF(AND(OR($F99="Analogy",$F99="Assumed"),$G99&lt;&gt;"低",$G99&lt;&gt;"高",NOT(ISNUMBER($K99)),NOT(ISNUMBER($L99)),OR($M99="—",$M99="")),1,0)</f>
        <v>0</v>
      </c>
      <c r="Y99" s="186" t="n">
        <f aca="false">IF(AND(OR($F99="Analogy",$F99="Assumed",$F99="Derived（待改公式）",$F99="Derived（公式）"),OR($N99="—",$N99="",$N99=0)),1,0)</f>
        <v>0</v>
      </c>
      <c r="Z99" s="186" t="n">
        <f aca="false">IF(AND($F99="Decision",OR($J99="—",$J99="")),1,0)</f>
        <v>0</v>
      </c>
      <c r="AA99" s="183" t="n">
        <f aca="false">IF(OR($J99="—",$J99=""),0,IF(COUNTIF(Decisions!$A$5:$A$300,$J99)=0,1,0))</f>
        <v>0</v>
      </c>
      <c r="AB99" s="186" t="n">
        <f aca="false">IF(AND($F99="原始數據",$S99&lt;&gt;"Active"),1,0)</f>
        <v>0</v>
      </c>
      <c r="AC99" s="186" t="n">
        <f aca="false">IF(AND(ISNUMBER($K99),ISNUMBER($L99),ISNUMBER($Q99)),IF(OR($Q99&lt;MIN($K99,$L99),$Q99&gt;MAX($K99,$L99)),1,0),0)</f>
        <v>0</v>
      </c>
      <c r="AD99" s="186" t="n">
        <f aca="false">IF(AND(ISNUMBER($T99),$P99="高"),IF($T99=3,1,0),0)</f>
        <v>0</v>
      </c>
      <c r="AE99" s="186" t="n">
        <f aca="false">IF($S99="不存在",1,0)</f>
        <v>0</v>
      </c>
      <c r="AF99" s="35" t="n">
        <f aca="false">IF(OR($H99="—",$H99=""),"—",MATCH($H99,IDX_SrcID,0))</f>
        <v>3</v>
      </c>
      <c r="AG99" s="104" t="n">
        <f aca="false">IF(AND($P99="高",OR($AD99=1,$X99=1)),1,0)</f>
        <v>0</v>
      </c>
      <c r="AH99" s="104" t="n">
        <f aca="false">IF(AND($P99="高",$AG99=0,OR($F99&lt;&gt;"原始數據",$T99&lt;&gt;1)),1,0)</f>
        <v>0</v>
      </c>
      <c r="AI99" s="53" t="str">
        <f aca="false">IF(AND($P99="高",ISNUMBER($AF99)),INDEX(IDX_SrcDate,$AF99),"—")</f>
        <v>—</v>
      </c>
      <c r="AJ99" s="104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6" t="s">
        <v>3441</v>
      </c>
      <c r="B100" s="215" t="s">
        <v>3183</v>
      </c>
      <c r="C100" s="36" t="s">
        <v>3341</v>
      </c>
      <c r="D100" s="36" t="s">
        <v>3216</v>
      </c>
      <c r="E100" s="19" t="s">
        <v>167</v>
      </c>
      <c r="F100" s="215" t="s">
        <v>298</v>
      </c>
      <c r="G100" s="215" t="s">
        <v>3185</v>
      </c>
      <c r="H100" s="36" t="s">
        <v>3405</v>
      </c>
      <c r="I100" s="19" t="s">
        <v>3220</v>
      </c>
      <c r="J100" s="36" t="s">
        <v>587</v>
      </c>
      <c r="K100" s="215"/>
      <c r="L100" s="215"/>
      <c r="M100" s="36" t="s">
        <v>587</v>
      </c>
      <c r="N100" s="19" t="s">
        <v>3406</v>
      </c>
      <c r="O100" s="6" t="s">
        <v>587</v>
      </c>
      <c r="P100" s="215" t="s">
        <v>3188</v>
      </c>
      <c r="Q100" s="178" t="n">
        <f aca="false">Spec_Rack!D13</f>
        <v>3.4</v>
      </c>
      <c r="R100" s="185" t="n">
        <f aca="false">SRC_HW_006_Hi</f>
        <v>3.4</v>
      </c>
      <c r="S100" s="35" t="str">
        <f aca="false">IF(ISNUMBER($AF100),INDEX(IDX_SrcStat,$AF100),"—")</f>
        <v>Active</v>
      </c>
      <c r="T100" s="35" t="n">
        <f aca="false">IF(ISNUMBER($AF100),INDEX(IDX_SrcGrade,$AF100),"—")</f>
        <v>2</v>
      </c>
      <c r="U100" s="35" t="s">
        <v>3222</v>
      </c>
      <c r="V100" s="186" t="n">
        <f aca="false">IF(AND($F100="原始數據",$U100&lt;&gt;"連結 SRC"),1,0)</f>
        <v>0</v>
      </c>
      <c r="W100" s="186" t="n">
        <f aca="false">IF(AND($F100="Analogy",OR($H100="—",$H100="")),1,0)</f>
        <v>0</v>
      </c>
      <c r="X100" s="186" t="n">
        <f aca="false">IF(AND(OR($F100="Analogy",$F100="Assumed"),$G100&lt;&gt;"低",$G100&lt;&gt;"高",NOT(ISNUMBER($K100)),NOT(ISNUMBER($L100)),OR($M100="—",$M100="")),1,0)</f>
        <v>0</v>
      </c>
      <c r="Y100" s="186" t="n">
        <f aca="false">IF(AND(OR($F100="Analogy",$F100="Assumed",$F100="Derived（待改公式）",$F100="Derived（公式）"),OR($N100="—",$N100="",$N100=0)),1,0)</f>
        <v>0</v>
      </c>
      <c r="Z100" s="186" t="n">
        <f aca="false">IF(AND($F100="Decision",OR($J100="—",$J100="")),1,0)</f>
        <v>0</v>
      </c>
      <c r="AA100" s="183" t="n">
        <f aca="false">IF(OR($J100="—",$J100=""),0,IF(COUNTIF(Decisions!$A$5:$A$300,$J100)=0,1,0))</f>
        <v>0</v>
      </c>
      <c r="AB100" s="186" t="n">
        <f aca="false">IF(AND($F100="原始數據",$S100&lt;&gt;"Active"),1,0)</f>
        <v>0</v>
      </c>
      <c r="AC100" s="186" t="n">
        <f aca="false">IF(AND(ISNUMBER($K100),ISNUMBER($L100),ISNUMBER($Q100)),IF(OR($Q100&lt;MIN($K100,$L100),$Q100&gt;MAX($K100,$L100)),1,0),0)</f>
        <v>0</v>
      </c>
      <c r="AD100" s="186" t="n">
        <f aca="false">IF(AND(ISNUMBER($T100),$P100="高"),IF($T100=3,1,0),0)</f>
        <v>0</v>
      </c>
      <c r="AE100" s="186" t="n">
        <f aca="false">IF($S100="不存在",1,0)</f>
        <v>0</v>
      </c>
      <c r="AF100" s="35" t="n">
        <f aca="false">IF(OR($H100="—",$H100=""),"—",MATCH($H100,IDX_SrcID,0))</f>
        <v>6</v>
      </c>
      <c r="AG100" s="104" t="n">
        <f aca="false">IF(AND($P100="高",OR($AD100=1,$X100=1)),1,0)</f>
        <v>0</v>
      </c>
      <c r="AH100" s="104" t="n">
        <f aca="false">IF(AND($P100="高",$AG100=0,OR($F100&lt;&gt;"原始數據",$T100&lt;&gt;1)),1,0)</f>
        <v>0</v>
      </c>
      <c r="AI100" s="53" t="str">
        <f aca="false">IF(AND($P100="高",ISNUMBER($AF100)),INDEX(IDX_SrcDate,$AF100),"—")</f>
        <v>—</v>
      </c>
      <c r="AJ100" s="104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6" t="s">
        <v>3442</v>
      </c>
      <c r="B101" s="215" t="s">
        <v>3183</v>
      </c>
      <c r="C101" s="36" t="s">
        <v>3341</v>
      </c>
      <c r="D101" s="36" t="s">
        <v>3077</v>
      </c>
      <c r="E101" s="19" t="s">
        <v>167</v>
      </c>
      <c r="F101" s="215" t="s">
        <v>298</v>
      </c>
      <c r="G101" s="215" t="s">
        <v>3185</v>
      </c>
      <c r="H101" s="36" t="s">
        <v>3443</v>
      </c>
      <c r="I101" s="19" t="s">
        <v>3220</v>
      </c>
      <c r="J101" s="36" t="s">
        <v>587</v>
      </c>
      <c r="K101" s="215"/>
      <c r="L101" s="215"/>
      <c r="M101" s="36" t="s">
        <v>587</v>
      </c>
      <c r="N101" s="19" t="s">
        <v>3406</v>
      </c>
      <c r="O101" s="6" t="s">
        <v>587</v>
      </c>
      <c r="P101" s="215" t="s">
        <v>3188</v>
      </c>
      <c r="Q101" s="178" t="n">
        <f aca="false">Spec_Rack!E13</f>
        <v>6.5</v>
      </c>
      <c r="R101" s="185" t="n">
        <f aca="false">SRC_HW_007_Hi</f>
        <v>6.5</v>
      </c>
      <c r="S101" s="35" t="str">
        <f aca="false">IF(ISNUMBER($AF101),INDEX(IDX_SrcStat,$AF101),"—")</f>
        <v>Active</v>
      </c>
      <c r="T101" s="35" t="n">
        <f aca="false">IF(ISNUMBER($AF101),INDEX(IDX_SrcGrade,$AF101),"—")</f>
        <v>3</v>
      </c>
      <c r="U101" s="35" t="s">
        <v>3222</v>
      </c>
      <c r="V101" s="186" t="n">
        <f aca="false">IF(AND($F101="原始數據",$U101&lt;&gt;"連結 SRC"),1,0)</f>
        <v>0</v>
      </c>
      <c r="W101" s="186" t="n">
        <f aca="false">IF(AND($F101="Analogy",OR($H101="—",$H101="")),1,0)</f>
        <v>0</v>
      </c>
      <c r="X101" s="186" t="n">
        <f aca="false">IF(AND(OR($F101="Analogy",$F101="Assumed"),$G101&lt;&gt;"低",$G101&lt;&gt;"高",NOT(ISNUMBER($K101)),NOT(ISNUMBER($L101)),OR($M101="—",$M101="")),1,0)</f>
        <v>0</v>
      </c>
      <c r="Y101" s="186" t="n">
        <f aca="false">IF(AND(OR($F101="Analogy",$F101="Assumed",$F101="Derived（待改公式）",$F101="Derived（公式）"),OR($N101="—",$N101="",$N101=0)),1,0)</f>
        <v>0</v>
      </c>
      <c r="Z101" s="186" t="n">
        <f aca="false">IF(AND($F101="Decision",OR($J101="—",$J101="")),1,0)</f>
        <v>0</v>
      </c>
      <c r="AA101" s="183" t="n">
        <f aca="false">IF(OR($J101="—",$J101=""),0,IF(COUNTIF(Decisions!$A$5:$A$300,$J101)=0,1,0))</f>
        <v>0</v>
      </c>
      <c r="AB101" s="186" t="n">
        <f aca="false">IF(AND($F101="原始數據",$S101&lt;&gt;"Active"),1,0)</f>
        <v>0</v>
      </c>
      <c r="AC101" s="186" t="n">
        <f aca="false">IF(AND(ISNUMBER($K101),ISNUMBER($L101),ISNUMBER($Q101)),IF(OR($Q101&lt;MIN($K101,$L101),$Q101&gt;MAX($K101,$L101)),1,0),0)</f>
        <v>0</v>
      </c>
      <c r="AD101" s="186" t="n">
        <f aca="false">IF(AND(ISNUMBER($T101),$P101="高"),IF($T101=3,1,0),0)</f>
        <v>0</v>
      </c>
      <c r="AE101" s="186" t="n">
        <f aca="false">IF($S101="不存在",1,0)</f>
        <v>0</v>
      </c>
      <c r="AF101" s="35" t="n">
        <f aca="false">IF(OR($H101="—",$H101=""),"—",MATCH($H101,IDX_SrcID,0))</f>
        <v>7</v>
      </c>
      <c r="AG101" s="104" t="n">
        <f aca="false">IF(AND($P101="高",OR($AD101=1,$X101=1)),1,0)</f>
        <v>0</v>
      </c>
      <c r="AH101" s="104" t="n">
        <f aca="false">IF(AND($P101="高",$AG101=0,OR($F101&lt;&gt;"原始數據",$T101&lt;&gt;1)),1,0)</f>
        <v>0</v>
      </c>
      <c r="AI101" s="53" t="str">
        <f aca="false">IF(AND($P101="高",ISNUMBER($AF101)),INDEX(IDX_SrcDate,$AF101),"—")</f>
        <v>—</v>
      </c>
      <c r="AJ101" s="104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6" t="s">
        <v>3444</v>
      </c>
      <c r="B102" s="215" t="s">
        <v>3183</v>
      </c>
      <c r="C102" s="36" t="s">
        <v>3341</v>
      </c>
      <c r="D102" s="36" t="s">
        <v>3218</v>
      </c>
      <c r="E102" s="19" t="s">
        <v>167</v>
      </c>
      <c r="F102" s="215" t="s">
        <v>3370</v>
      </c>
      <c r="G102" s="215" t="s">
        <v>1116</v>
      </c>
      <c r="H102" s="36" t="s">
        <v>3445</v>
      </c>
      <c r="I102" s="19" t="s">
        <v>3446</v>
      </c>
      <c r="J102" s="36" t="s">
        <v>587</v>
      </c>
      <c r="K102" s="215"/>
      <c r="L102" s="215"/>
      <c r="M102" s="36" t="s">
        <v>587</v>
      </c>
      <c r="N102" s="19" t="s">
        <v>3447</v>
      </c>
      <c r="O102" s="6" t="s">
        <v>587</v>
      </c>
      <c r="P102" s="215" t="s">
        <v>3188</v>
      </c>
      <c r="Q102" s="178" t="n">
        <f aca="false">Spec_Rack!F13</f>
        <v>9.1</v>
      </c>
      <c r="R102" s="185" t="n">
        <f aca="false">SRC_HW_017</f>
        <v>9.09</v>
      </c>
      <c r="S102" s="35" t="str">
        <f aca="false">IF(ISNUMBER($AF102),INDEX(IDX_SrcStat,$AF102),"—")</f>
        <v>Alt</v>
      </c>
      <c r="T102" s="35" t="n">
        <f aca="false">IF(ISNUMBER($AF102),INDEX(IDX_SrcGrade,$AF102),"—")</f>
        <v>3</v>
      </c>
      <c r="U102" s="35" t="s">
        <v>3189</v>
      </c>
      <c r="V102" s="186" t="n">
        <f aca="false">IF(AND($F102="原始數據",$U102&lt;&gt;"連結 SRC"),1,0)</f>
        <v>0</v>
      </c>
      <c r="W102" s="186" t="n">
        <f aca="false">IF(AND($F102="Analogy",OR($H102="—",$H102="")),1,0)</f>
        <v>0</v>
      </c>
      <c r="X102" s="186" t="n">
        <f aca="false">IF(AND(OR($F102="Analogy",$F102="Assumed"),$G102&lt;&gt;"低",$G102&lt;&gt;"高",NOT(ISNUMBER($K102)),NOT(ISNUMBER($L102)),OR($M102="—",$M102="")),1,0)</f>
        <v>0</v>
      </c>
      <c r="Y102" s="186" t="n">
        <f aca="false">IF(AND(OR($F102="Analogy",$F102="Assumed",$F102="Derived（待改公式）",$F102="Derived（公式）"),OR($N102="—",$N102="",$N102=0)),1,0)</f>
        <v>0</v>
      </c>
      <c r="Z102" s="186" t="n">
        <f aca="false">IF(AND($F102="Decision",OR($J102="—",$J102="")),1,0)</f>
        <v>0</v>
      </c>
      <c r="AA102" s="183" t="n">
        <f aca="false">IF(OR($J102="—",$J102=""),0,IF(COUNTIF(Decisions!$A$5:$A$300,$J102)=0,1,0))</f>
        <v>0</v>
      </c>
      <c r="AB102" s="186" t="n">
        <f aca="false">IF(AND($F102="原始數據",$S102&lt;&gt;"Active"),1,0)</f>
        <v>0</v>
      </c>
      <c r="AC102" s="186" t="n">
        <f aca="false">IF(AND(ISNUMBER($K102),ISNUMBER($L102),ISNUMBER($Q102)),IF(OR($Q102&lt;MIN($K102,$L102),$Q102&gt;MAX($K102,$L102)),1,0),0)</f>
        <v>0</v>
      </c>
      <c r="AD102" s="186" t="n">
        <f aca="false">IF(AND(ISNUMBER($T102),$P102="高"),IF($T102=3,1,0),0)</f>
        <v>0</v>
      </c>
      <c r="AE102" s="186" t="n">
        <f aca="false">IF($S102="不存在",1,0)</f>
        <v>0</v>
      </c>
      <c r="AF102" s="35" t="n">
        <f aca="false">IF(OR($H102="—",$H102=""),"—",MATCH($H102,IDX_SrcID,0))</f>
        <v>17</v>
      </c>
      <c r="AG102" s="104" t="n">
        <f aca="false">IF(AND($P102="高",OR($AD102=1,$X102=1)),1,0)</f>
        <v>0</v>
      </c>
      <c r="AH102" s="104" t="n">
        <f aca="false">IF(AND($P102="高",$AG102=0,OR($F102&lt;&gt;"原始數據",$T102&lt;&gt;1)),1,0)</f>
        <v>0</v>
      </c>
      <c r="AI102" s="53" t="str">
        <f aca="false">IF(AND($P102="高",ISNUMBER($AF102)),INDEX(IDX_SrcDate,$AF102),"—")</f>
        <v>—</v>
      </c>
      <c r="AJ102" s="104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6" t="s">
        <v>3448</v>
      </c>
      <c r="B103" s="215" t="s">
        <v>3183</v>
      </c>
      <c r="C103" s="36" t="s">
        <v>3341</v>
      </c>
      <c r="D103" s="36" t="s">
        <v>3449</v>
      </c>
      <c r="E103" s="19" t="s">
        <v>167</v>
      </c>
      <c r="F103" s="36" t="s">
        <v>80</v>
      </c>
      <c r="G103" s="215" t="s">
        <v>1116</v>
      </c>
      <c r="H103" s="36" t="s">
        <v>587</v>
      </c>
      <c r="I103" s="6" t="s">
        <v>587</v>
      </c>
      <c r="J103" s="36" t="s">
        <v>587</v>
      </c>
      <c r="K103" s="215"/>
      <c r="L103" s="215"/>
      <c r="M103" s="36" t="s">
        <v>587</v>
      </c>
      <c r="N103" s="6" t="s">
        <v>3450</v>
      </c>
      <c r="O103" s="6" t="s">
        <v>3417</v>
      </c>
      <c r="P103" s="215" t="s">
        <v>3188</v>
      </c>
      <c r="Q103" s="178" t="n">
        <f aca="false">Spec_Rack!G13</f>
        <v>21</v>
      </c>
      <c r="R103" s="36" t="s">
        <v>587</v>
      </c>
      <c r="S103" s="35" t="str">
        <f aca="false">IF(ISNUMBER($AF103),INDEX(IDX_SrcStat,$AF103),"—")</f>
        <v>—</v>
      </c>
      <c r="T103" s="35" t="str">
        <f aca="false">IF(ISNUMBER($AF103),INDEX(IDX_SrcGrade,$AF103),"—")</f>
        <v>—</v>
      </c>
      <c r="U103" s="35" t="s">
        <v>3418</v>
      </c>
      <c r="V103" s="186" t="n">
        <f aca="false">IF(AND($F103="原始數據",$U103&lt;&gt;"連結 SRC"),1,0)</f>
        <v>0</v>
      </c>
      <c r="W103" s="186" t="n">
        <f aca="false">IF(AND($F103="Analogy",OR($H103="—",$H103="")),1,0)</f>
        <v>0</v>
      </c>
      <c r="X103" s="186" t="n">
        <f aca="false">IF(AND(OR($F103="Analogy",$F103="Assumed"),$G103&lt;&gt;"低",$G103&lt;&gt;"高",NOT(ISNUMBER($K103)),NOT(ISNUMBER($L103)),OR($M103="—",$M103="")),1,0)</f>
        <v>0</v>
      </c>
      <c r="Y103" s="186" t="n">
        <f aca="false">IF(AND(OR($F103="Analogy",$F103="Assumed",$F103="Derived（待改公式）",$F103="Derived（公式）"),OR($N103="—",$N103="",$N103=0)),1,0)</f>
        <v>0</v>
      </c>
      <c r="Z103" s="186" t="n">
        <f aca="false">IF(AND($F103="Decision",OR($J103="—",$J103="")),1,0)</f>
        <v>0</v>
      </c>
      <c r="AA103" s="183" t="n">
        <f aca="false">IF(OR($J103="—",$J103=""),0,IF(COUNTIF(Decisions!$A$5:$A$300,$J103)=0,1,0))</f>
        <v>0</v>
      </c>
      <c r="AB103" s="186" t="n">
        <f aca="false">IF(AND($F103="原始數據",$S103&lt;&gt;"Active"),1,0)</f>
        <v>0</v>
      </c>
      <c r="AC103" s="186" t="n">
        <f aca="false">IF(AND(ISNUMBER($K103),ISNUMBER($L103),ISNUMBER($Q103)),IF(OR($Q103&lt;MIN($K103,$L103),$Q103&gt;MAX($K103,$L103)),1,0),0)</f>
        <v>0</v>
      </c>
      <c r="AD103" s="186" t="n">
        <f aca="false">IF(AND(ISNUMBER($T103),$P103="高"),IF($T103=3,1,0),0)</f>
        <v>0</v>
      </c>
      <c r="AE103" s="186" t="n">
        <f aca="false">IF($S103="不存在",1,0)</f>
        <v>0</v>
      </c>
      <c r="AF103" s="35" t="str">
        <f aca="false">IF(OR($H103="—",$H103=""),"—",MATCH($H103,IDX_SrcID,0))</f>
        <v>—</v>
      </c>
      <c r="AG103" s="104" t="n">
        <f aca="false">IF(AND($P103="高",OR($AD103=1,$X103=1)),1,0)</f>
        <v>0</v>
      </c>
      <c r="AH103" s="104" t="n">
        <f aca="false">IF(AND($P103="高",$AG103=0,OR($F103&lt;&gt;"原始數據",$T103&lt;&gt;1)),1,0)</f>
        <v>0</v>
      </c>
      <c r="AI103" s="53" t="str">
        <f aca="false">IF(AND($P103="高",ISNUMBER($AF103)),INDEX(IDX_SrcDate,$AF103),"—")</f>
        <v>—</v>
      </c>
      <c r="AJ103" s="104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6" t="s">
        <v>3451</v>
      </c>
      <c r="B104" s="215" t="s">
        <v>3183</v>
      </c>
      <c r="C104" s="36" t="s">
        <v>3341</v>
      </c>
      <c r="D104" s="36" t="s">
        <v>3452</v>
      </c>
      <c r="E104" s="19" t="s">
        <v>3453</v>
      </c>
      <c r="F104" s="215" t="s">
        <v>298</v>
      </c>
      <c r="G104" s="215" t="s">
        <v>3185</v>
      </c>
      <c r="H104" s="36" t="s">
        <v>3454</v>
      </c>
      <c r="I104" s="19" t="s">
        <v>3220</v>
      </c>
      <c r="J104" s="36" t="s">
        <v>587</v>
      </c>
      <c r="K104" s="215"/>
      <c r="L104" s="215"/>
      <c r="M104" s="36" t="s">
        <v>587</v>
      </c>
      <c r="N104" s="19" t="s">
        <v>3406</v>
      </c>
      <c r="O104" s="6" t="s">
        <v>587</v>
      </c>
      <c r="P104" s="215" t="s">
        <v>3244</v>
      </c>
      <c r="Q104" s="38" t="n">
        <f aca="false">Spec_Rack!C23</f>
        <v>1.979</v>
      </c>
      <c r="R104" s="185" t="n">
        <f aca="false">SRC_HW_040</f>
        <v>1.979</v>
      </c>
      <c r="S104" s="35" t="str">
        <f aca="false">IF(ISNUMBER($AF104),INDEX(IDX_SrcStat,$AF104),"—")</f>
        <v>Active</v>
      </c>
      <c r="T104" s="35" t="n">
        <f aca="false">IF(ISNUMBER($AF104),INDEX(IDX_SrcGrade,$AF104),"—")</f>
        <v>1</v>
      </c>
      <c r="U104" s="35" t="s">
        <v>3222</v>
      </c>
      <c r="V104" s="186" t="n">
        <f aca="false">IF(AND($F104="原始數據",$U104&lt;&gt;"連結 SRC"),1,0)</f>
        <v>0</v>
      </c>
      <c r="W104" s="186" t="n">
        <f aca="false">IF(AND($F104="Analogy",OR($H104="—",$H104="")),1,0)</f>
        <v>0</v>
      </c>
      <c r="X104" s="186" t="n">
        <f aca="false">IF(AND(OR($F104="Analogy",$F104="Assumed"),$G104&lt;&gt;"低",$G104&lt;&gt;"高",NOT(ISNUMBER($K104)),NOT(ISNUMBER($L104)),OR($M104="—",$M104="")),1,0)</f>
        <v>0</v>
      </c>
      <c r="Y104" s="186" t="n">
        <f aca="false">IF(AND(OR($F104="Analogy",$F104="Assumed",$F104="Derived（待改公式）",$F104="Derived（公式）"),OR($N104="—",$N104="",$N104=0)),1,0)</f>
        <v>0</v>
      </c>
      <c r="Z104" s="186" t="n">
        <f aca="false">IF(AND($F104="Decision",OR($J104="—",$J104="")),1,0)</f>
        <v>0</v>
      </c>
      <c r="AA104" s="183" t="n">
        <f aca="false">IF(OR($J104="—",$J104=""),0,IF(COUNTIF(Decisions!$A$5:$A$300,$J104)=0,1,0))</f>
        <v>0</v>
      </c>
      <c r="AB104" s="186" t="n">
        <f aca="false">IF(AND($F104="原始數據",$S104&lt;&gt;"Active"),1,0)</f>
        <v>0</v>
      </c>
      <c r="AC104" s="186" t="n">
        <f aca="false">IF(AND(ISNUMBER($K104),ISNUMBER($L104),ISNUMBER($Q104)),IF(OR($Q104&lt;MIN($K104,$L104),$Q104&gt;MAX($K104,$L104)),1,0),0)</f>
        <v>0</v>
      </c>
      <c r="AD104" s="186" t="n">
        <f aca="false">IF(AND(ISNUMBER($T104),$P104="高"),IF($T104=3,1,0),0)</f>
        <v>0</v>
      </c>
      <c r="AE104" s="186" t="n">
        <f aca="false">IF($S104="不存在",1,0)</f>
        <v>0</v>
      </c>
      <c r="AF104" s="35" t="n">
        <f aca="false">IF(OR($H104="—",$H104=""),"—",MATCH($H104,IDX_SrcID,0))</f>
        <v>40</v>
      </c>
      <c r="AG104" s="104" t="n">
        <f aca="false">IF(AND($P104="高",OR($AD104=1,$X104=1)),1,0)</f>
        <v>0</v>
      </c>
      <c r="AH104" s="104" t="n">
        <f aca="false">IF(AND($P104="高",$AG104=0,OR($F104&lt;&gt;"原始數據",$T104&lt;&gt;1)),1,0)</f>
        <v>0</v>
      </c>
      <c r="AI104" s="53" t="str">
        <f aca="false">IF(AND($P104="高",ISNUMBER($AF104)),INDEX(IDX_SrcDate,$AF104),"—")</f>
        <v>—</v>
      </c>
      <c r="AJ104" s="104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6" t="s">
        <v>3455</v>
      </c>
      <c r="B105" s="215" t="s">
        <v>3183</v>
      </c>
      <c r="C105" s="36" t="s">
        <v>3341</v>
      </c>
      <c r="D105" s="36" t="s">
        <v>3315</v>
      </c>
      <c r="E105" s="19" t="s">
        <v>3453</v>
      </c>
      <c r="F105" s="215" t="s">
        <v>298</v>
      </c>
      <c r="G105" s="215" t="s">
        <v>3185</v>
      </c>
      <c r="H105" s="36" t="s">
        <v>3456</v>
      </c>
      <c r="I105" s="19" t="s">
        <v>3220</v>
      </c>
      <c r="J105" s="36" t="s">
        <v>587</v>
      </c>
      <c r="K105" s="215"/>
      <c r="L105" s="215"/>
      <c r="M105" s="36" t="s">
        <v>587</v>
      </c>
      <c r="N105" s="19" t="s">
        <v>3406</v>
      </c>
      <c r="O105" s="6" t="s">
        <v>587</v>
      </c>
      <c r="P105" s="215" t="s">
        <v>3244</v>
      </c>
      <c r="Q105" s="38" t="n">
        <f aca="false">Spec_Rack!D23</f>
        <v>10</v>
      </c>
      <c r="R105" s="185" t="n">
        <f aca="false">SRC_HW_022</f>
        <v>10</v>
      </c>
      <c r="S105" s="35" t="str">
        <f aca="false">IF(ISNUMBER($AF105),INDEX(IDX_SrcStat,$AF105),"—")</f>
        <v>Active</v>
      </c>
      <c r="T105" s="35" t="n">
        <f aca="false">IF(ISNUMBER($AF105),INDEX(IDX_SrcGrade,$AF105),"—")</f>
        <v>1</v>
      </c>
      <c r="U105" s="35" t="s">
        <v>3222</v>
      </c>
      <c r="V105" s="186" t="n">
        <f aca="false">IF(AND($F105="原始數據",$U105&lt;&gt;"連結 SRC"),1,0)</f>
        <v>0</v>
      </c>
      <c r="W105" s="186" t="n">
        <f aca="false">IF(AND($F105="Analogy",OR($H105="—",$H105="")),1,0)</f>
        <v>0</v>
      </c>
      <c r="X105" s="186" t="n">
        <f aca="false">IF(AND(OR($F105="Analogy",$F105="Assumed"),$G105&lt;&gt;"低",$G105&lt;&gt;"高",NOT(ISNUMBER($K105)),NOT(ISNUMBER($L105)),OR($M105="—",$M105="")),1,0)</f>
        <v>0</v>
      </c>
      <c r="Y105" s="186" t="n">
        <f aca="false">IF(AND(OR($F105="Analogy",$F105="Assumed",$F105="Derived（待改公式）",$F105="Derived（公式）"),OR($N105="—",$N105="",$N105=0)),1,0)</f>
        <v>0</v>
      </c>
      <c r="Z105" s="186" t="n">
        <f aca="false">IF(AND($F105="Decision",OR($J105="—",$J105="")),1,0)</f>
        <v>0</v>
      </c>
      <c r="AA105" s="183" t="n">
        <f aca="false">IF(OR($J105="—",$J105=""),0,IF(COUNTIF(Decisions!$A$5:$A$300,$J105)=0,1,0))</f>
        <v>0</v>
      </c>
      <c r="AB105" s="186" t="n">
        <f aca="false">IF(AND($F105="原始數據",$S105&lt;&gt;"Active"),1,0)</f>
        <v>0</v>
      </c>
      <c r="AC105" s="186" t="n">
        <f aca="false">IF(AND(ISNUMBER($K105),ISNUMBER($L105),ISNUMBER($Q105)),IF(OR($Q105&lt;MIN($K105,$L105),$Q105&gt;MAX($K105,$L105)),1,0),0)</f>
        <v>0</v>
      </c>
      <c r="AD105" s="186" t="n">
        <f aca="false">IF(AND(ISNUMBER($T105),$P105="高"),IF($T105=3,1,0),0)</f>
        <v>0</v>
      </c>
      <c r="AE105" s="186" t="n">
        <f aca="false">IF($S105="不存在",1,0)</f>
        <v>0</v>
      </c>
      <c r="AF105" s="35" t="n">
        <f aca="false">IF(OR($H105="—",$H105=""),"—",MATCH($H105,IDX_SrcID,0))</f>
        <v>22</v>
      </c>
      <c r="AG105" s="104" t="n">
        <f aca="false">IF(AND($P105="高",OR($AD105=1,$X105=1)),1,0)</f>
        <v>0</v>
      </c>
      <c r="AH105" s="104" t="n">
        <f aca="false">IF(AND($P105="高",$AG105=0,OR($F105&lt;&gt;"原始數據",$T105&lt;&gt;1)),1,0)</f>
        <v>0</v>
      </c>
      <c r="AI105" s="53" t="str">
        <f aca="false">IF(AND($P105="高",ISNUMBER($AF105)),INDEX(IDX_SrcDate,$AF105),"—")</f>
        <v>—</v>
      </c>
      <c r="AJ105" s="104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6" t="s">
        <v>3457</v>
      </c>
      <c r="B106" s="215" t="s">
        <v>3183</v>
      </c>
      <c r="C106" s="36" t="s">
        <v>3341</v>
      </c>
      <c r="D106" s="36" t="s">
        <v>3320</v>
      </c>
      <c r="E106" s="19" t="s">
        <v>3453</v>
      </c>
      <c r="F106" s="215" t="s">
        <v>298</v>
      </c>
      <c r="G106" s="215" t="s">
        <v>3185</v>
      </c>
      <c r="H106" s="36" t="s">
        <v>3458</v>
      </c>
      <c r="I106" s="19" t="s">
        <v>3220</v>
      </c>
      <c r="J106" s="36" t="s">
        <v>587</v>
      </c>
      <c r="K106" s="215"/>
      <c r="L106" s="215"/>
      <c r="M106" s="36" t="s">
        <v>587</v>
      </c>
      <c r="N106" s="19" t="s">
        <v>3406</v>
      </c>
      <c r="O106" s="6" t="s">
        <v>587</v>
      </c>
      <c r="P106" s="215" t="s">
        <v>3244</v>
      </c>
      <c r="Q106" s="38" t="n">
        <f aca="false">Spec_Rack!E23</f>
        <v>15</v>
      </c>
      <c r="R106" s="185" t="n">
        <f aca="false">SRC_HW_025</f>
        <v>15</v>
      </c>
      <c r="S106" s="35" t="str">
        <f aca="false">IF(ISNUMBER($AF106),INDEX(IDX_SrcStat,$AF106),"—")</f>
        <v>Active</v>
      </c>
      <c r="T106" s="35" t="n">
        <f aca="false">IF(ISNUMBER($AF106),INDEX(IDX_SrcGrade,$AF106),"—")</f>
        <v>1</v>
      </c>
      <c r="U106" s="35" t="s">
        <v>3222</v>
      </c>
      <c r="V106" s="186" t="n">
        <f aca="false">IF(AND($F106="原始數據",$U106&lt;&gt;"連結 SRC"),1,0)</f>
        <v>0</v>
      </c>
      <c r="W106" s="186" t="n">
        <f aca="false">IF(AND($F106="Analogy",OR($H106="—",$H106="")),1,0)</f>
        <v>0</v>
      </c>
      <c r="X106" s="186" t="n">
        <f aca="false">IF(AND(OR($F106="Analogy",$F106="Assumed"),$G106&lt;&gt;"低",$G106&lt;&gt;"高",NOT(ISNUMBER($K106)),NOT(ISNUMBER($L106)),OR($M106="—",$M106="")),1,0)</f>
        <v>0</v>
      </c>
      <c r="Y106" s="186" t="n">
        <f aca="false">IF(AND(OR($F106="Analogy",$F106="Assumed",$F106="Derived（待改公式）",$F106="Derived（公式）"),OR($N106="—",$N106="",$N106=0)),1,0)</f>
        <v>0</v>
      </c>
      <c r="Z106" s="186" t="n">
        <f aca="false">IF(AND($F106="Decision",OR($J106="—",$J106="")),1,0)</f>
        <v>0</v>
      </c>
      <c r="AA106" s="183" t="n">
        <f aca="false">IF(OR($J106="—",$J106=""),0,IF(COUNTIF(Decisions!$A$5:$A$300,$J106)=0,1,0))</f>
        <v>0</v>
      </c>
      <c r="AB106" s="186" t="n">
        <f aca="false">IF(AND($F106="原始數據",$S106&lt;&gt;"Active"),1,0)</f>
        <v>0</v>
      </c>
      <c r="AC106" s="186" t="n">
        <f aca="false">IF(AND(ISNUMBER($K106),ISNUMBER($L106),ISNUMBER($Q106)),IF(OR($Q106&lt;MIN($K106,$L106),$Q106&gt;MAX($K106,$L106)),1,0),0)</f>
        <v>0</v>
      </c>
      <c r="AD106" s="186" t="n">
        <f aca="false">IF(AND(ISNUMBER($T106),$P106="高"),IF($T106=3,1,0),0)</f>
        <v>0</v>
      </c>
      <c r="AE106" s="186" t="n">
        <f aca="false">IF($S106="不存在",1,0)</f>
        <v>0</v>
      </c>
      <c r="AF106" s="35" t="n">
        <f aca="false">IF(OR($H106="—",$H106=""),"—",MATCH($H106,IDX_SrcID,0))</f>
        <v>25</v>
      </c>
      <c r="AG106" s="104" t="n">
        <f aca="false">IF(AND($P106="高",OR($AD106=1,$X106=1)),1,0)</f>
        <v>0</v>
      </c>
      <c r="AH106" s="104" t="n">
        <f aca="false">IF(AND($P106="高",$AG106=0,OR($F106&lt;&gt;"原始數據",$T106&lt;&gt;1)),1,0)</f>
        <v>0</v>
      </c>
      <c r="AI106" s="53" t="str">
        <f aca="false">IF(AND($P106="高",ISNUMBER($AF106)),INDEX(IDX_SrcDate,$AF106),"—")</f>
        <v>—</v>
      </c>
      <c r="AJ106" s="104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6" t="s">
        <v>3459</v>
      </c>
      <c r="B107" s="215" t="s">
        <v>3183</v>
      </c>
      <c r="C107" s="36" t="s">
        <v>3341</v>
      </c>
      <c r="D107" s="36" t="s">
        <v>3322</v>
      </c>
      <c r="E107" s="19" t="s">
        <v>3453</v>
      </c>
      <c r="F107" s="215" t="s">
        <v>298</v>
      </c>
      <c r="G107" s="215" t="s">
        <v>3185</v>
      </c>
      <c r="H107" s="36" t="s">
        <v>3460</v>
      </c>
      <c r="I107" s="19" t="s">
        <v>3220</v>
      </c>
      <c r="J107" s="36" t="s">
        <v>587</v>
      </c>
      <c r="K107" s="215"/>
      <c r="L107" s="215"/>
      <c r="M107" s="36" t="s">
        <v>587</v>
      </c>
      <c r="N107" s="19" t="s">
        <v>3406</v>
      </c>
      <c r="O107" s="6" t="s">
        <v>587</v>
      </c>
      <c r="P107" s="215" t="s">
        <v>3244</v>
      </c>
      <c r="Q107" s="38" t="n">
        <f aca="false">Spec_Rack!F23</f>
        <v>35</v>
      </c>
      <c r="R107" s="185" t="n">
        <f aca="false">SRC_HW_028</f>
        <v>35</v>
      </c>
      <c r="S107" s="35" t="str">
        <f aca="false">IF(ISNUMBER($AF107),INDEX(IDX_SrcStat,$AF107),"—")</f>
        <v>Active</v>
      </c>
      <c r="T107" s="35" t="n">
        <f aca="false">IF(ISNUMBER($AF107),INDEX(IDX_SrcGrade,$AF107),"—")</f>
        <v>1</v>
      </c>
      <c r="U107" s="35" t="s">
        <v>3222</v>
      </c>
      <c r="V107" s="186" t="n">
        <f aca="false">IF(AND($F107="原始數據",$U107&lt;&gt;"連結 SRC"),1,0)</f>
        <v>0</v>
      </c>
      <c r="W107" s="186" t="n">
        <f aca="false">IF(AND($F107="Analogy",OR($H107="—",$H107="")),1,0)</f>
        <v>0</v>
      </c>
      <c r="X107" s="186" t="n">
        <f aca="false">IF(AND(OR($F107="Analogy",$F107="Assumed"),$G107&lt;&gt;"低",$G107&lt;&gt;"高",NOT(ISNUMBER($K107)),NOT(ISNUMBER($L107)),OR($M107="—",$M107="")),1,0)</f>
        <v>0</v>
      </c>
      <c r="Y107" s="186" t="n">
        <f aca="false">IF(AND(OR($F107="Analogy",$F107="Assumed",$F107="Derived（待改公式）",$F107="Derived（公式）"),OR($N107="—",$N107="",$N107=0)),1,0)</f>
        <v>0</v>
      </c>
      <c r="Z107" s="186" t="n">
        <f aca="false">IF(AND($F107="Decision",OR($J107="—",$J107="")),1,0)</f>
        <v>0</v>
      </c>
      <c r="AA107" s="183" t="n">
        <f aca="false">IF(OR($J107="—",$J107=""),0,IF(COUNTIF(Decisions!$A$5:$A$300,$J107)=0,1,0))</f>
        <v>0</v>
      </c>
      <c r="AB107" s="186" t="n">
        <f aca="false">IF(AND($F107="原始數據",$S107&lt;&gt;"Active"),1,0)</f>
        <v>0</v>
      </c>
      <c r="AC107" s="186" t="n">
        <f aca="false">IF(AND(ISNUMBER($K107),ISNUMBER($L107),ISNUMBER($Q107)),IF(OR($Q107&lt;MIN($K107,$L107),$Q107&gt;MAX($K107,$L107)),1,0),0)</f>
        <v>0</v>
      </c>
      <c r="AD107" s="186" t="n">
        <f aca="false">IF(AND(ISNUMBER($T107),$P107="高"),IF($T107=3,1,0),0)</f>
        <v>0</v>
      </c>
      <c r="AE107" s="186" t="n">
        <f aca="false">IF($S107="不存在",1,0)</f>
        <v>0</v>
      </c>
      <c r="AF107" s="35" t="n">
        <f aca="false">IF(OR($H107="—",$H107=""),"—",MATCH($H107,IDX_SrcID,0))</f>
        <v>28</v>
      </c>
      <c r="AG107" s="104" t="n">
        <f aca="false">IF(AND($P107="高",OR($AD107=1,$X107=1)),1,0)</f>
        <v>0</v>
      </c>
      <c r="AH107" s="104" t="n">
        <f aca="false">IF(AND($P107="高",$AG107=0,OR($F107&lt;&gt;"原始數據",$T107&lt;&gt;1)),1,0)</f>
        <v>0</v>
      </c>
      <c r="AI107" s="53" t="str">
        <f aca="false">IF(AND($P107="高",ISNUMBER($AF107)),INDEX(IDX_SrcDate,$AF107),"—")</f>
        <v>—</v>
      </c>
      <c r="AJ107" s="104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6" t="s">
        <v>3461</v>
      </c>
      <c r="B108" s="215" t="s">
        <v>3183</v>
      </c>
      <c r="C108" s="36" t="s">
        <v>3341</v>
      </c>
      <c r="D108" s="36" t="s">
        <v>3462</v>
      </c>
      <c r="E108" s="19" t="s">
        <v>3453</v>
      </c>
      <c r="F108" s="36" t="s">
        <v>258</v>
      </c>
      <c r="G108" s="215" t="s">
        <v>65</v>
      </c>
      <c r="H108" s="36" t="s">
        <v>3463</v>
      </c>
      <c r="I108" s="6" t="s">
        <v>3464</v>
      </c>
      <c r="J108" s="36" t="s">
        <v>587</v>
      </c>
      <c r="K108" s="185" t="n">
        <f aca="false">Spec_Rack!G23*0.7</f>
        <v>49</v>
      </c>
      <c r="L108" s="185" t="n">
        <f aca="false">Spec_Rack!G23*1.3</f>
        <v>91</v>
      </c>
      <c r="M108" s="36" t="s">
        <v>3465</v>
      </c>
      <c r="N108" s="6" t="s">
        <v>3466</v>
      </c>
      <c r="O108" s="6" t="s">
        <v>3467</v>
      </c>
      <c r="P108" s="215" t="s">
        <v>1116</v>
      </c>
      <c r="Q108" s="38" t="n">
        <f aca="false">Spec_Rack!G23</f>
        <v>70</v>
      </c>
      <c r="R108" s="185" t="n">
        <f aca="false">SRC_HW_063</f>
        <v>2520</v>
      </c>
      <c r="S108" s="35" t="str">
        <f aca="false">IF(ISNUMBER($AF108),INDEX(IDX_SrcStat,$AF108),"—")</f>
        <v>Active</v>
      </c>
      <c r="T108" s="35" t="n">
        <f aca="false">IF(ISNUMBER($AF108),INDEX(IDX_SrcGrade,$AF108),"—")</f>
        <v>1</v>
      </c>
      <c r="U108" s="35" t="s">
        <v>3189</v>
      </c>
      <c r="V108" s="186" t="n">
        <f aca="false">IF(AND($F108="原始數據",$U108&lt;&gt;"連結 SRC"),1,0)</f>
        <v>0</v>
      </c>
      <c r="W108" s="186" t="n">
        <f aca="false">IF(AND($F108="Analogy",OR($H108="—",$H108="")),1,0)</f>
        <v>0</v>
      </c>
      <c r="X108" s="186" t="n">
        <f aca="false">IF(AND(OR($F108="Analogy",$F108="Assumed"),$G108&lt;&gt;"低",$G108&lt;&gt;"高",NOT(ISNUMBER($K108)),NOT(ISNUMBER($L108)),OR($M108="—",$M108="")),1,0)</f>
        <v>0</v>
      </c>
      <c r="Y108" s="186" t="n">
        <f aca="false">IF(AND(OR($F108="Analogy",$F108="Assumed",$F108="Derived（待改公式）",$F108="Derived（公式）"),OR($N108="—",$N108="",$N108=0)),1,0)</f>
        <v>0</v>
      </c>
      <c r="Z108" s="186" t="n">
        <f aca="false">IF(AND($F108="Decision",OR($J108="—",$J108="")),1,0)</f>
        <v>0</v>
      </c>
      <c r="AA108" s="183" t="n">
        <f aca="false">IF(OR($J108="—",$J108=""),0,IF(COUNTIF(Decisions!$A$5:$A$300,$J108)=0,1,0))</f>
        <v>0</v>
      </c>
      <c r="AB108" s="186" t="n">
        <f aca="false">IF(AND($F108="原始數據",$S108&lt;&gt;"Active"),1,0)</f>
        <v>0</v>
      </c>
      <c r="AC108" s="186" t="n">
        <f aca="false">IF(AND(ISNUMBER($K108),ISNUMBER($L108),ISNUMBER($Q108)),IF(OR($Q108&lt;MIN($K108,$L108),$Q108&gt;MAX($K108,$L108)),1,0),0)</f>
        <v>0</v>
      </c>
      <c r="AD108" s="186" t="n">
        <f aca="false">IF(AND(ISNUMBER($T108),$P108="高"),IF($T108=3,1,0),0)</f>
        <v>0</v>
      </c>
      <c r="AE108" s="186" t="n">
        <f aca="false">IF($S108="不存在",1,0)</f>
        <v>0</v>
      </c>
      <c r="AF108" s="35" t="n">
        <f aca="false">IF(OR($H108="—",$H108=""),"—",MATCH($H108,IDX_SrcID,0))</f>
        <v>63</v>
      </c>
      <c r="AG108" s="104" t="n">
        <f aca="false">IF(AND($P108="高",OR($AD108=1,$X108=1)),1,0)</f>
        <v>0</v>
      </c>
      <c r="AH108" s="104" t="n">
        <f aca="false">IF(AND($P108="高",$AG108=0,OR($F108&lt;&gt;"原始數據",$T108&lt;&gt;1)),1,0)</f>
        <v>1</v>
      </c>
      <c r="AI108" s="53" t="str">
        <f aca="false">IF(AND($P108="高",ISNUMBER($AF108)),INDEX(IDX_SrcDate,$AF108),"—")</f>
        <v>—</v>
      </c>
      <c r="AJ108" s="104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6" t="s">
        <v>3468</v>
      </c>
      <c r="B109" s="215" t="s">
        <v>3183</v>
      </c>
      <c r="C109" s="36" t="s">
        <v>3341</v>
      </c>
      <c r="D109" s="36" t="s">
        <v>3469</v>
      </c>
      <c r="E109" s="19" t="s">
        <v>3470</v>
      </c>
      <c r="F109" s="36" t="s">
        <v>3471</v>
      </c>
      <c r="G109" s="215" t="s">
        <v>3185</v>
      </c>
      <c r="H109" s="36" t="s">
        <v>587</v>
      </c>
      <c r="I109" s="6" t="s">
        <v>587</v>
      </c>
      <c r="J109" s="36" t="s">
        <v>587</v>
      </c>
      <c r="K109" s="215"/>
      <c r="L109" s="215"/>
      <c r="M109" s="36" t="s">
        <v>587</v>
      </c>
      <c r="N109" s="6" t="s">
        <v>3472</v>
      </c>
      <c r="O109" s="6" t="s">
        <v>587</v>
      </c>
      <c r="P109" s="215" t="s">
        <v>1116</v>
      </c>
      <c r="Q109" s="38" t="n">
        <f aca="false">Spec_Rack!C24</f>
        <v>1.979</v>
      </c>
      <c r="R109" s="36" t="s">
        <v>587</v>
      </c>
      <c r="S109" s="35" t="str">
        <f aca="false">IF(ISNUMBER($AF109),INDEX(IDX_SrcStat,$AF109),"—")</f>
        <v>—</v>
      </c>
      <c r="T109" s="35" t="str">
        <f aca="false">IF(ISNUMBER($AF109),INDEX(IDX_SrcGrade,$AF109),"—")</f>
        <v>—</v>
      </c>
      <c r="U109" s="35" t="s">
        <v>3418</v>
      </c>
      <c r="V109" s="186" t="n">
        <f aca="false">IF(AND($F109="原始數據",$U109&lt;&gt;"連結 SRC"),1,0)</f>
        <v>0</v>
      </c>
      <c r="W109" s="186" t="n">
        <f aca="false">IF(AND($F109="Analogy",OR($H109="—",$H109="")),1,0)</f>
        <v>0</v>
      </c>
      <c r="X109" s="186" t="n">
        <f aca="false">IF(AND(OR($F109="Analogy",$F109="Assumed"),$G109&lt;&gt;"低",$G109&lt;&gt;"高",NOT(ISNUMBER($K109)),NOT(ISNUMBER($L109)),OR($M109="—",$M109="")),1,0)</f>
        <v>0</v>
      </c>
      <c r="Y109" s="186" t="n">
        <f aca="false">IF(AND(OR($F109="Analogy",$F109="Assumed",$F109="Derived（待改公式）",$F109="Derived（公式）"),OR($N109="—",$N109="",$N109=0)),1,0)</f>
        <v>0</v>
      </c>
      <c r="Z109" s="186" t="n">
        <f aca="false">IF(AND($F109="Decision",OR($J109="—",$J109="")),1,0)</f>
        <v>0</v>
      </c>
      <c r="AA109" s="183" t="n">
        <f aca="false">IF(OR($J109="—",$J109=""),0,IF(COUNTIF(Decisions!$A$5:$A$300,$J109)=0,1,0))</f>
        <v>0</v>
      </c>
      <c r="AB109" s="186" t="n">
        <f aca="false">IF(AND($F109="原始數據",$S109&lt;&gt;"Active"),1,0)</f>
        <v>0</v>
      </c>
      <c r="AC109" s="186" t="n">
        <f aca="false">IF(AND(ISNUMBER($K109),ISNUMBER($L109),ISNUMBER($Q109)),IF(OR($Q109&lt;MIN($K109,$L109),$Q109&gt;MAX($K109,$L109)),1,0),0)</f>
        <v>0</v>
      </c>
      <c r="AD109" s="186" t="n">
        <f aca="false">IF(AND(ISNUMBER($T109),$P109="高"),IF($T109=3,1,0),0)</f>
        <v>0</v>
      </c>
      <c r="AE109" s="186" t="n">
        <f aca="false">IF($S109="不存在",1,0)</f>
        <v>0</v>
      </c>
      <c r="AF109" s="35" t="str">
        <f aca="false">IF(OR($H109="—",$H109=""),"—",MATCH($H109,IDX_SrcID,0))</f>
        <v>—</v>
      </c>
      <c r="AG109" s="104" t="n">
        <f aca="false">IF(AND($P109="高",OR($AD109=1,$X109=1)),1,0)</f>
        <v>0</v>
      </c>
      <c r="AH109" s="104" t="n">
        <f aca="false">IF(AND($P109="高",$AG109=0,OR($F109&lt;&gt;"原始數據",$T109&lt;&gt;1)),1,0)</f>
        <v>1</v>
      </c>
      <c r="AI109" s="53" t="str">
        <f aca="false">IF(AND($P109="高",ISNUMBER($AF109)),INDEX(IDX_SrcDate,$AF109),"—")</f>
        <v>—</v>
      </c>
      <c r="AJ109" s="104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6" t="s">
        <v>3473</v>
      </c>
      <c r="B110" s="215" t="s">
        <v>3183</v>
      </c>
      <c r="C110" s="36" t="s">
        <v>3341</v>
      </c>
      <c r="D110" s="36" t="s">
        <v>3474</v>
      </c>
      <c r="E110" s="19" t="s">
        <v>3470</v>
      </c>
      <c r="F110" s="215" t="s">
        <v>298</v>
      </c>
      <c r="G110" s="215" t="s">
        <v>3185</v>
      </c>
      <c r="H110" s="36" t="s">
        <v>3456</v>
      </c>
      <c r="I110" s="19" t="s">
        <v>3220</v>
      </c>
      <c r="J110" s="36" t="s">
        <v>587</v>
      </c>
      <c r="K110" s="215"/>
      <c r="L110" s="215"/>
      <c r="M110" s="36" t="s">
        <v>587</v>
      </c>
      <c r="N110" s="19" t="s">
        <v>3318</v>
      </c>
      <c r="O110" s="6" t="s">
        <v>587</v>
      </c>
      <c r="P110" s="215" t="s">
        <v>1116</v>
      </c>
      <c r="Q110" s="38" t="n">
        <f aca="false">Spec_Rack!D24</f>
        <v>10</v>
      </c>
      <c r="R110" s="185" t="n">
        <f aca="false">SRC_HW_022</f>
        <v>10</v>
      </c>
      <c r="S110" s="35" t="str">
        <f aca="false">IF(ISNUMBER($AF110),INDEX(IDX_SrcStat,$AF110),"—")</f>
        <v>Active</v>
      </c>
      <c r="T110" s="35" t="n">
        <f aca="false">IF(ISNUMBER($AF110),INDEX(IDX_SrcGrade,$AF110),"—")</f>
        <v>1</v>
      </c>
      <c r="U110" s="35" t="s">
        <v>3222</v>
      </c>
      <c r="V110" s="186" t="n">
        <f aca="false">IF(AND($F110="原始數據",$U110&lt;&gt;"連結 SRC"),1,0)</f>
        <v>0</v>
      </c>
      <c r="W110" s="186" t="n">
        <f aca="false">IF(AND($F110="Analogy",OR($H110="—",$H110="")),1,0)</f>
        <v>0</v>
      </c>
      <c r="X110" s="186" t="n">
        <f aca="false">IF(AND(OR($F110="Analogy",$F110="Assumed"),$G110&lt;&gt;"低",$G110&lt;&gt;"高",NOT(ISNUMBER($K110)),NOT(ISNUMBER($L110)),OR($M110="—",$M110="")),1,0)</f>
        <v>0</v>
      </c>
      <c r="Y110" s="186" t="n">
        <f aca="false">IF(AND(OR($F110="Analogy",$F110="Assumed",$F110="Derived（待改公式）",$F110="Derived（公式）"),OR($N110="—",$N110="",$N110=0)),1,0)</f>
        <v>0</v>
      </c>
      <c r="Z110" s="186" t="n">
        <f aca="false">IF(AND($F110="Decision",OR($J110="—",$J110="")),1,0)</f>
        <v>0</v>
      </c>
      <c r="AA110" s="183" t="n">
        <f aca="false">IF(OR($J110="—",$J110=""),0,IF(COUNTIF(Decisions!$A$5:$A$300,$J110)=0,1,0))</f>
        <v>0</v>
      </c>
      <c r="AB110" s="186" t="n">
        <f aca="false">IF(AND($F110="原始數據",$S110&lt;&gt;"Active"),1,0)</f>
        <v>0</v>
      </c>
      <c r="AC110" s="186" t="n">
        <f aca="false">IF(AND(ISNUMBER($K110),ISNUMBER($L110),ISNUMBER($Q110)),IF(OR($Q110&lt;MIN($K110,$L110),$Q110&gt;MAX($K110,$L110)),1,0),0)</f>
        <v>0</v>
      </c>
      <c r="AD110" s="186" t="n">
        <f aca="false">IF(AND(ISNUMBER($T110),$P110="高"),IF($T110=3,1,0),0)</f>
        <v>0</v>
      </c>
      <c r="AE110" s="186" t="n">
        <f aca="false">IF($S110="不存在",1,0)</f>
        <v>0</v>
      </c>
      <c r="AF110" s="35" t="n">
        <f aca="false">IF(OR($H110="—",$H110=""),"—",MATCH($H110,IDX_SrcID,0))</f>
        <v>22</v>
      </c>
      <c r="AG110" s="104" t="n">
        <f aca="false">IF(AND($P110="高",OR($AD110=1,$X110=1)),1,0)</f>
        <v>0</v>
      </c>
      <c r="AH110" s="104" t="n">
        <f aca="false">IF(AND($P110="高",$AG110=0,OR($F110&lt;&gt;"原始數據",$T110&lt;&gt;1)),1,0)</f>
        <v>0</v>
      </c>
      <c r="AI110" s="53" t="str">
        <f aca="false">IF(AND($P110="高",ISNUMBER($AF110)),INDEX(IDX_SrcDate,$AF110),"—")</f>
        <v>2026-10-05</v>
      </c>
      <c r="AJ110" s="104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6" t="s">
        <v>3475</v>
      </c>
      <c r="B111" s="215" t="s">
        <v>3183</v>
      </c>
      <c r="C111" s="36" t="s">
        <v>3341</v>
      </c>
      <c r="D111" s="36" t="s">
        <v>3325</v>
      </c>
      <c r="E111" s="19" t="s">
        <v>3470</v>
      </c>
      <c r="F111" s="215" t="s">
        <v>298</v>
      </c>
      <c r="G111" s="215" t="s">
        <v>3185</v>
      </c>
      <c r="H111" s="36" t="s">
        <v>3458</v>
      </c>
      <c r="I111" s="19" t="s">
        <v>3220</v>
      </c>
      <c r="J111" s="36" t="s">
        <v>587</v>
      </c>
      <c r="K111" s="215"/>
      <c r="L111" s="215"/>
      <c r="M111" s="36" t="s">
        <v>587</v>
      </c>
      <c r="N111" s="19" t="s">
        <v>3318</v>
      </c>
      <c r="O111" s="6" t="s">
        <v>587</v>
      </c>
      <c r="P111" s="215" t="s">
        <v>1116</v>
      </c>
      <c r="Q111" s="38" t="n">
        <f aca="false">Spec_Rack!E24</f>
        <v>15</v>
      </c>
      <c r="R111" s="185" t="n">
        <f aca="false">SRC_HW_025</f>
        <v>15</v>
      </c>
      <c r="S111" s="35" t="str">
        <f aca="false">IF(ISNUMBER($AF111),INDEX(IDX_SrcStat,$AF111),"—")</f>
        <v>Active</v>
      </c>
      <c r="T111" s="35" t="n">
        <f aca="false">IF(ISNUMBER($AF111),INDEX(IDX_SrcGrade,$AF111),"—")</f>
        <v>1</v>
      </c>
      <c r="U111" s="35" t="s">
        <v>3222</v>
      </c>
      <c r="V111" s="186" t="n">
        <f aca="false">IF(AND($F111="原始數據",$U111&lt;&gt;"連結 SRC"),1,0)</f>
        <v>0</v>
      </c>
      <c r="W111" s="186" t="n">
        <f aca="false">IF(AND($F111="Analogy",OR($H111="—",$H111="")),1,0)</f>
        <v>0</v>
      </c>
      <c r="X111" s="186" t="n">
        <f aca="false">IF(AND(OR($F111="Analogy",$F111="Assumed"),$G111&lt;&gt;"低",$G111&lt;&gt;"高",NOT(ISNUMBER($K111)),NOT(ISNUMBER($L111)),OR($M111="—",$M111="")),1,0)</f>
        <v>0</v>
      </c>
      <c r="Y111" s="186" t="n">
        <f aca="false">IF(AND(OR($F111="Analogy",$F111="Assumed",$F111="Derived（待改公式）",$F111="Derived（公式）"),OR($N111="—",$N111="",$N111=0)),1,0)</f>
        <v>0</v>
      </c>
      <c r="Z111" s="186" t="n">
        <f aca="false">IF(AND($F111="Decision",OR($J111="—",$J111="")),1,0)</f>
        <v>0</v>
      </c>
      <c r="AA111" s="183" t="n">
        <f aca="false">IF(OR($J111="—",$J111=""),0,IF(COUNTIF(Decisions!$A$5:$A$300,$J111)=0,1,0))</f>
        <v>0</v>
      </c>
      <c r="AB111" s="186" t="n">
        <f aca="false">IF(AND($F111="原始數據",$S111&lt;&gt;"Active"),1,0)</f>
        <v>0</v>
      </c>
      <c r="AC111" s="186" t="n">
        <f aca="false">IF(AND(ISNUMBER($K111),ISNUMBER($L111),ISNUMBER($Q111)),IF(OR($Q111&lt;MIN($K111,$L111),$Q111&gt;MAX($K111,$L111)),1,0),0)</f>
        <v>0</v>
      </c>
      <c r="AD111" s="186" t="n">
        <f aca="false">IF(AND(ISNUMBER($T111),$P111="高"),IF($T111=3,1,0),0)</f>
        <v>0</v>
      </c>
      <c r="AE111" s="186" t="n">
        <f aca="false">IF($S111="不存在",1,0)</f>
        <v>0</v>
      </c>
      <c r="AF111" s="35" t="n">
        <f aca="false">IF(OR($H111="—",$H111=""),"—",MATCH($H111,IDX_SrcID,0))</f>
        <v>25</v>
      </c>
      <c r="AG111" s="104" t="n">
        <f aca="false">IF(AND($P111="高",OR($AD111=1,$X111=1)),1,0)</f>
        <v>0</v>
      </c>
      <c r="AH111" s="104" t="n">
        <f aca="false">IF(AND($P111="高",$AG111=0,OR($F111&lt;&gt;"原始數據",$T111&lt;&gt;1)),1,0)</f>
        <v>0</v>
      </c>
      <c r="AI111" s="53" t="str">
        <f aca="false">IF(AND($P111="高",ISNUMBER($AF111)),INDEX(IDX_SrcDate,$AF111),"—")</f>
        <v>2026-10-05</v>
      </c>
      <c r="AJ111" s="104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6" t="s">
        <v>3476</v>
      </c>
      <c r="B112" s="215" t="s">
        <v>3183</v>
      </c>
      <c r="C112" s="36" t="s">
        <v>3341</v>
      </c>
      <c r="D112" s="36" t="s">
        <v>3477</v>
      </c>
      <c r="E112" s="19" t="s">
        <v>3470</v>
      </c>
      <c r="F112" s="215" t="s">
        <v>298</v>
      </c>
      <c r="G112" s="215" t="s">
        <v>3185</v>
      </c>
      <c r="H112" s="36" t="s">
        <v>3478</v>
      </c>
      <c r="I112" s="19" t="s">
        <v>3220</v>
      </c>
      <c r="J112" s="36" t="s">
        <v>587</v>
      </c>
      <c r="K112" s="215"/>
      <c r="L112" s="215"/>
      <c r="M112" s="36" t="s">
        <v>587</v>
      </c>
      <c r="N112" s="19" t="s">
        <v>3318</v>
      </c>
      <c r="O112" s="6" t="s">
        <v>587</v>
      </c>
      <c r="P112" s="215" t="s">
        <v>1116</v>
      </c>
      <c r="Q112" s="38" t="n">
        <f aca="false">Spec_Rack!F24</f>
        <v>50</v>
      </c>
      <c r="R112" s="185" t="n">
        <f aca="false">SRC_HW_027</f>
        <v>50</v>
      </c>
      <c r="S112" s="35" t="str">
        <f aca="false">IF(ISNUMBER($AF112),INDEX(IDX_SrcStat,$AF112),"—")</f>
        <v>Active</v>
      </c>
      <c r="T112" s="35" t="n">
        <f aca="false">IF(ISNUMBER($AF112),INDEX(IDX_SrcGrade,$AF112),"—")</f>
        <v>1</v>
      </c>
      <c r="U112" s="35" t="s">
        <v>3222</v>
      </c>
      <c r="V112" s="186" t="n">
        <f aca="false">IF(AND($F112="原始數據",$U112&lt;&gt;"連結 SRC"),1,0)</f>
        <v>0</v>
      </c>
      <c r="W112" s="186" t="n">
        <f aca="false">IF(AND($F112="Analogy",OR($H112="—",$H112="")),1,0)</f>
        <v>0</v>
      </c>
      <c r="X112" s="186" t="n">
        <f aca="false">IF(AND(OR($F112="Analogy",$F112="Assumed"),$G112&lt;&gt;"低",$G112&lt;&gt;"高",NOT(ISNUMBER($K112)),NOT(ISNUMBER($L112)),OR($M112="—",$M112="")),1,0)</f>
        <v>0</v>
      </c>
      <c r="Y112" s="186" t="n">
        <f aca="false">IF(AND(OR($F112="Analogy",$F112="Assumed",$F112="Derived（待改公式）",$F112="Derived（公式）"),OR($N112="—",$N112="",$N112=0)),1,0)</f>
        <v>0</v>
      </c>
      <c r="Z112" s="186" t="n">
        <f aca="false">IF(AND($F112="Decision",OR($J112="—",$J112="")),1,0)</f>
        <v>0</v>
      </c>
      <c r="AA112" s="183" t="n">
        <f aca="false">IF(OR($J112="—",$J112=""),0,IF(COUNTIF(Decisions!$A$5:$A$300,$J112)=0,1,0))</f>
        <v>0</v>
      </c>
      <c r="AB112" s="186" t="n">
        <f aca="false">IF(AND($F112="原始數據",$S112&lt;&gt;"Active"),1,0)</f>
        <v>0</v>
      </c>
      <c r="AC112" s="186" t="n">
        <f aca="false">IF(AND(ISNUMBER($K112),ISNUMBER($L112),ISNUMBER($Q112)),IF(OR($Q112&lt;MIN($K112,$L112),$Q112&gt;MAX($K112,$L112)),1,0),0)</f>
        <v>0</v>
      </c>
      <c r="AD112" s="186" t="n">
        <f aca="false">IF(AND(ISNUMBER($T112),$P112="高"),IF($T112=3,1,0),0)</f>
        <v>0</v>
      </c>
      <c r="AE112" s="186" t="n">
        <f aca="false">IF($S112="不存在",1,0)</f>
        <v>0</v>
      </c>
      <c r="AF112" s="35" t="n">
        <f aca="false">IF(OR($H112="—",$H112=""),"—",MATCH($H112,IDX_SrcID,0))</f>
        <v>27</v>
      </c>
      <c r="AG112" s="104" t="n">
        <f aca="false">IF(AND($P112="高",OR($AD112=1,$X112=1)),1,0)</f>
        <v>0</v>
      </c>
      <c r="AH112" s="104" t="n">
        <f aca="false">IF(AND($P112="高",$AG112=0,OR($F112&lt;&gt;"原始數據",$T112&lt;&gt;1)),1,0)</f>
        <v>0</v>
      </c>
      <c r="AI112" s="53" t="str">
        <f aca="false">IF(AND($P112="高",ISNUMBER($AF112)),INDEX(IDX_SrcDate,$AF112),"—")</f>
        <v>2026-10-05</v>
      </c>
      <c r="AJ112" s="104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6" t="s">
        <v>3479</v>
      </c>
      <c r="B113" s="215" t="s">
        <v>3183</v>
      </c>
      <c r="C113" s="36" t="s">
        <v>3341</v>
      </c>
      <c r="D113" s="36" t="s">
        <v>3480</v>
      </c>
      <c r="E113" s="19" t="s">
        <v>3470</v>
      </c>
      <c r="F113" s="215" t="s">
        <v>258</v>
      </c>
      <c r="G113" s="215" t="s">
        <v>3185</v>
      </c>
      <c r="H113" s="36" t="s">
        <v>3463</v>
      </c>
      <c r="I113" s="19" t="s">
        <v>3481</v>
      </c>
      <c r="J113" s="36" t="s">
        <v>587</v>
      </c>
      <c r="K113" s="215"/>
      <c r="L113" s="215"/>
      <c r="M113" s="36" t="s">
        <v>587</v>
      </c>
      <c r="N113" s="19" t="s">
        <v>3482</v>
      </c>
      <c r="O113" s="19" t="s">
        <v>3483</v>
      </c>
      <c r="P113" s="215" t="s">
        <v>1116</v>
      </c>
      <c r="Q113" s="38" t="n">
        <f aca="false">Spec_Rack!G24</f>
        <v>100</v>
      </c>
      <c r="R113" s="185" t="n">
        <f aca="false">SRC_HW_063</f>
        <v>2520</v>
      </c>
      <c r="S113" s="35" t="str">
        <f aca="false">IF(ISNUMBER($AF113),INDEX(IDX_SrcStat,$AF113),"—")</f>
        <v>Active</v>
      </c>
      <c r="T113" s="35" t="n">
        <f aca="false">IF(ISNUMBER($AF113),INDEX(IDX_SrcGrade,$AF113),"—")</f>
        <v>1</v>
      </c>
      <c r="U113" s="35" t="s">
        <v>3189</v>
      </c>
      <c r="V113" s="186" t="n">
        <f aca="false">IF(AND($F113="原始數據",$U113&lt;&gt;"連結 SRC"),1,0)</f>
        <v>0</v>
      </c>
      <c r="W113" s="186" t="n">
        <f aca="false">IF(AND($F113="Analogy",OR($H113="—",$H113="")),1,0)</f>
        <v>0</v>
      </c>
      <c r="X113" s="186" t="n">
        <f aca="false">IF(AND(OR($F113="Analogy",$F113="Assumed"),$G113&lt;&gt;"低",$G113&lt;&gt;"高",NOT(ISNUMBER($K113)),NOT(ISNUMBER($L113)),OR($M113="—",$M113="")),1,0)</f>
        <v>0</v>
      </c>
      <c r="Y113" s="186" t="n">
        <f aca="false">IF(AND(OR($F113="Analogy",$F113="Assumed",$F113="Derived（待改公式）",$F113="Derived（公式）"),OR($N113="—",$N113="",$N113=0)),1,0)</f>
        <v>0</v>
      </c>
      <c r="Z113" s="186" t="n">
        <f aca="false">IF(AND($F113="Decision",OR($J113="—",$J113="")),1,0)</f>
        <v>0</v>
      </c>
      <c r="AA113" s="183" t="n">
        <f aca="false">IF(OR($J113="—",$J113=""),0,IF(COUNTIF(Decisions!$A$5:$A$300,$J113)=0,1,0))</f>
        <v>0</v>
      </c>
      <c r="AB113" s="186" t="n">
        <f aca="false">IF(AND($F113="原始數據",$S113&lt;&gt;"Active"),1,0)</f>
        <v>0</v>
      </c>
      <c r="AC113" s="186" t="n">
        <f aca="false">IF(AND(ISNUMBER($K113),ISNUMBER($L113),ISNUMBER($Q113)),IF(OR($Q113&lt;MIN($K113,$L113),$Q113&gt;MAX($K113,$L113)),1,0),0)</f>
        <v>0</v>
      </c>
      <c r="AD113" s="186" t="n">
        <f aca="false">IF(AND(ISNUMBER($T113),$P113="高"),IF($T113=3,1,0),0)</f>
        <v>0</v>
      </c>
      <c r="AE113" s="186" t="n">
        <f aca="false">IF($S113="不存在",1,0)</f>
        <v>0</v>
      </c>
      <c r="AF113" s="35" t="n">
        <f aca="false">IF(OR($H113="—",$H113=""),"—",MATCH($H113,IDX_SrcID,0))</f>
        <v>63</v>
      </c>
      <c r="AG113" s="104" t="n">
        <f aca="false">IF(AND($P113="高",OR($AD113=1,$X113=1)),1,0)</f>
        <v>0</v>
      </c>
      <c r="AH113" s="104" t="n">
        <f aca="false">IF(AND($P113="高",$AG113=0,OR($F113&lt;&gt;"原始數據",$T113&lt;&gt;1)),1,0)</f>
        <v>1</v>
      </c>
      <c r="AI113" s="53" t="str">
        <f aca="false">IF(AND($P113="高",ISNUMBER($AF113)),INDEX(IDX_SrcDate,$AF113),"—")</f>
        <v>—</v>
      </c>
      <c r="AJ113" s="104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6" t="s">
        <v>3484</v>
      </c>
      <c r="B114" s="215" t="s">
        <v>3183</v>
      </c>
      <c r="C114" s="36" t="s">
        <v>3341</v>
      </c>
      <c r="D114" s="36" t="s">
        <v>3485</v>
      </c>
      <c r="E114" s="6" t="s">
        <v>197</v>
      </c>
      <c r="F114" s="215" t="s">
        <v>298</v>
      </c>
      <c r="G114" s="215" t="s">
        <v>3185</v>
      </c>
      <c r="H114" s="36" t="s">
        <v>3486</v>
      </c>
      <c r="I114" s="19" t="s">
        <v>3220</v>
      </c>
      <c r="J114" s="36" t="s">
        <v>587</v>
      </c>
      <c r="K114" s="215"/>
      <c r="L114" s="215"/>
      <c r="M114" s="36" t="s">
        <v>587</v>
      </c>
      <c r="N114" s="19" t="s">
        <v>3406</v>
      </c>
      <c r="O114" s="6" t="s">
        <v>587</v>
      </c>
      <c r="P114" s="215" t="s">
        <v>3244</v>
      </c>
      <c r="Q114" s="41" t="n">
        <f aca="false">Spec_Rack!C25</f>
        <v>80</v>
      </c>
      <c r="R114" s="185" t="n">
        <f aca="false">SRC_HW_020</f>
        <v>80</v>
      </c>
      <c r="S114" s="35" t="str">
        <f aca="false">IF(ISNUMBER($AF114),INDEX(IDX_SrcStat,$AF114),"—")</f>
        <v>Active</v>
      </c>
      <c r="T114" s="35" t="n">
        <f aca="false">IF(ISNUMBER($AF114),INDEX(IDX_SrcGrade,$AF114),"—")</f>
        <v>3</v>
      </c>
      <c r="U114" s="35" t="s">
        <v>3222</v>
      </c>
      <c r="V114" s="186" t="n">
        <f aca="false">IF(AND($F114="原始數據",$U114&lt;&gt;"連結 SRC"),1,0)</f>
        <v>0</v>
      </c>
      <c r="W114" s="186" t="n">
        <f aca="false">IF(AND($F114="Analogy",OR($H114="—",$H114="")),1,0)</f>
        <v>0</v>
      </c>
      <c r="X114" s="186" t="n">
        <f aca="false">IF(AND(OR($F114="Analogy",$F114="Assumed"),$G114&lt;&gt;"低",$G114&lt;&gt;"高",NOT(ISNUMBER($K114)),NOT(ISNUMBER($L114)),OR($M114="—",$M114="")),1,0)</f>
        <v>0</v>
      </c>
      <c r="Y114" s="186" t="n">
        <f aca="false">IF(AND(OR($F114="Analogy",$F114="Assumed",$F114="Derived（待改公式）",$F114="Derived（公式）"),OR($N114="—",$N114="",$N114=0)),1,0)</f>
        <v>0</v>
      </c>
      <c r="Z114" s="186" t="n">
        <f aca="false">IF(AND($F114="Decision",OR($J114="—",$J114="")),1,0)</f>
        <v>0</v>
      </c>
      <c r="AA114" s="183" t="n">
        <f aca="false">IF(OR($J114="—",$J114=""),0,IF(COUNTIF(Decisions!$A$5:$A$300,$J114)=0,1,0))</f>
        <v>0</v>
      </c>
      <c r="AB114" s="186" t="n">
        <f aca="false">IF(AND($F114="原始數據",$S114&lt;&gt;"Active"),1,0)</f>
        <v>0</v>
      </c>
      <c r="AC114" s="186" t="n">
        <f aca="false">IF(AND(ISNUMBER($K114),ISNUMBER($L114),ISNUMBER($Q114)),IF(OR($Q114&lt;MIN($K114,$L114),$Q114&gt;MAX($K114,$L114)),1,0),0)</f>
        <v>0</v>
      </c>
      <c r="AD114" s="186" t="n">
        <f aca="false">IF(AND(ISNUMBER($T114),$P114="高"),IF($T114=3,1,0),0)</f>
        <v>0</v>
      </c>
      <c r="AE114" s="186" t="n">
        <f aca="false">IF($S114="不存在",1,0)</f>
        <v>0</v>
      </c>
      <c r="AF114" s="35" t="n">
        <f aca="false">IF(OR($H114="—",$H114=""),"—",MATCH($H114,IDX_SrcID,0))</f>
        <v>20</v>
      </c>
      <c r="AG114" s="104" t="n">
        <f aca="false">IF(AND($P114="高",OR($AD114=1,$X114=1)),1,0)</f>
        <v>0</v>
      </c>
      <c r="AH114" s="104" t="n">
        <f aca="false">IF(AND($P114="高",$AG114=0,OR($F114&lt;&gt;"原始數據",$T114&lt;&gt;1)),1,0)</f>
        <v>0</v>
      </c>
      <c r="AI114" s="53" t="str">
        <f aca="false">IF(AND($P114="高",ISNUMBER($AF114)),INDEX(IDX_SrcDate,$AF114),"—")</f>
        <v>—</v>
      </c>
      <c r="AJ114" s="104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6" t="s">
        <v>3487</v>
      </c>
      <c r="B115" s="215" t="s">
        <v>3183</v>
      </c>
      <c r="C115" s="36" t="s">
        <v>3341</v>
      </c>
      <c r="D115" s="36" t="s">
        <v>3488</v>
      </c>
      <c r="E115" s="6" t="s">
        <v>197</v>
      </c>
      <c r="F115" s="215" t="s">
        <v>3370</v>
      </c>
      <c r="G115" s="215" t="s">
        <v>3185</v>
      </c>
      <c r="H115" s="36" t="s">
        <v>3489</v>
      </c>
      <c r="I115" s="19" t="s">
        <v>3490</v>
      </c>
      <c r="J115" s="36" t="s">
        <v>587</v>
      </c>
      <c r="K115" s="215"/>
      <c r="L115" s="215"/>
      <c r="M115" s="36" t="s">
        <v>587</v>
      </c>
      <c r="N115" s="19" t="s">
        <v>3491</v>
      </c>
      <c r="O115" s="6" t="s">
        <v>587</v>
      </c>
      <c r="P115" s="215" t="s">
        <v>3244</v>
      </c>
      <c r="Q115" s="41" t="n">
        <f aca="false">Spec_Rack!D25</f>
        <v>186</v>
      </c>
      <c r="R115" s="185" t="n">
        <f aca="false">SRC_HW_041</f>
        <v>13.4</v>
      </c>
      <c r="S115" s="35" t="str">
        <f aca="false">IF(ISNUMBER($AF115),INDEX(IDX_SrcStat,$AF115),"—")</f>
        <v>Active</v>
      </c>
      <c r="T115" s="35" t="n">
        <f aca="false">IF(ISNUMBER($AF115),INDEX(IDX_SrcGrade,$AF115),"—")</f>
        <v>3</v>
      </c>
      <c r="U115" s="35" t="s">
        <v>3189</v>
      </c>
      <c r="V115" s="186" t="n">
        <f aca="false">IF(AND($F115="原始數據",$U115&lt;&gt;"連結 SRC"),1,0)</f>
        <v>0</v>
      </c>
      <c r="W115" s="186" t="n">
        <f aca="false">IF(AND($F115="Analogy",OR($H115="—",$H115="")),1,0)</f>
        <v>0</v>
      </c>
      <c r="X115" s="186" t="n">
        <f aca="false">IF(AND(OR($F115="Analogy",$F115="Assumed"),$G115&lt;&gt;"低",$G115&lt;&gt;"高",NOT(ISNUMBER($K115)),NOT(ISNUMBER($L115)),OR($M115="—",$M115="")),1,0)</f>
        <v>0</v>
      </c>
      <c r="Y115" s="186" t="n">
        <f aca="false">IF(AND(OR($F115="Analogy",$F115="Assumed",$F115="Derived（待改公式）",$F115="Derived（公式）"),OR($N115="—",$N115="",$N115=0)),1,0)</f>
        <v>0</v>
      </c>
      <c r="Z115" s="186" t="n">
        <f aca="false">IF(AND($F115="Decision",OR($J115="—",$J115="")),1,0)</f>
        <v>0</v>
      </c>
      <c r="AA115" s="183" t="n">
        <f aca="false">IF(OR($J115="—",$J115=""),0,IF(COUNTIF(Decisions!$A$5:$A$300,$J115)=0,1,0))</f>
        <v>0</v>
      </c>
      <c r="AB115" s="186" t="n">
        <f aca="false">IF(AND($F115="原始數據",$S115&lt;&gt;"Active"),1,0)</f>
        <v>0</v>
      </c>
      <c r="AC115" s="186" t="n">
        <f aca="false">IF(AND(ISNUMBER($K115),ISNUMBER($L115),ISNUMBER($Q115)),IF(OR($Q115&lt;MIN($K115,$L115),$Q115&gt;MAX($K115,$L115)),1,0),0)</f>
        <v>0</v>
      </c>
      <c r="AD115" s="186" t="n">
        <f aca="false">IF(AND(ISNUMBER($T115),$P115="高"),IF($T115=3,1,0),0)</f>
        <v>0</v>
      </c>
      <c r="AE115" s="186" t="n">
        <f aca="false">IF($S115="不存在",1,0)</f>
        <v>0</v>
      </c>
      <c r="AF115" s="35" t="n">
        <f aca="false">IF(OR($H115="—",$H115=""),"—",MATCH($H115,IDX_SrcID,0))</f>
        <v>41</v>
      </c>
      <c r="AG115" s="104" t="n">
        <f aca="false">IF(AND($P115="高",OR($AD115=1,$X115=1)),1,0)</f>
        <v>0</v>
      </c>
      <c r="AH115" s="104" t="n">
        <f aca="false">IF(AND($P115="高",$AG115=0,OR($F115&lt;&gt;"原始數據",$T115&lt;&gt;1)),1,0)</f>
        <v>0</v>
      </c>
      <c r="AI115" s="53" t="str">
        <f aca="false">IF(AND($P115="高",ISNUMBER($AF115)),INDEX(IDX_SrcDate,$AF115),"—")</f>
        <v>—</v>
      </c>
      <c r="AJ115" s="104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6" t="s">
        <v>3492</v>
      </c>
      <c r="B116" s="215" t="s">
        <v>3183</v>
      </c>
      <c r="C116" s="36" t="s">
        <v>3341</v>
      </c>
      <c r="D116" s="36" t="s">
        <v>3329</v>
      </c>
      <c r="E116" s="6" t="s">
        <v>197</v>
      </c>
      <c r="F116" s="215" t="s">
        <v>298</v>
      </c>
      <c r="G116" s="215" t="s">
        <v>3185</v>
      </c>
      <c r="H116" s="36" t="s">
        <v>3493</v>
      </c>
      <c r="I116" s="19" t="s">
        <v>3220</v>
      </c>
      <c r="J116" s="36" t="s">
        <v>587</v>
      </c>
      <c r="K116" s="215"/>
      <c r="L116" s="215"/>
      <c r="M116" s="36" t="s">
        <v>587</v>
      </c>
      <c r="N116" s="19" t="s">
        <v>3406</v>
      </c>
      <c r="O116" s="6" t="s">
        <v>587</v>
      </c>
      <c r="P116" s="215" t="s">
        <v>3244</v>
      </c>
      <c r="Q116" s="41" t="n">
        <f aca="false">Spec_Rack!E25</f>
        <v>288</v>
      </c>
      <c r="R116" s="185" t="n">
        <f aca="false">SRC_HW_026</f>
        <v>288</v>
      </c>
      <c r="S116" s="35" t="str">
        <f aca="false">IF(ISNUMBER($AF116),INDEX(IDX_SrcStat,$AF116),"—")</f>
        <v>Active</v>
      </c>
      <c r="T116" s="35" t="n">
        <f aca="false">IF(ISNUMBER($AF116),INDEX(IDX_SrcGrade,$AF116),"—")</f>
        <v>3</v>
      </c>
      <c r="U116" s="35" t="s">
        <v>3222</v>
      </c>
      <c r="V116" s="186" t="n">
        <f aca="false">IF(AND($F116="原始數據",$U116&lt;&gt;"連結 SRC"),1,0)</f>
        <v>0</v>
      </c>
      <c r="W116" s="186" t="n">
        <f aca="false">IF(AND($F116="Analogy",OR($H116="—",$H116="")),1,0)</f>
        <v>0</v>
      </c>
      <c r="X116" s="186" t="n">
        <f aca="false">IF(AND(OR($F116="Analogy",$F116="Assumed"),$G116&lt;&gt;"低",$G116&lt;&gt;"高",NOT(ISNUMBER($K116)),NOT(ISNUMBER($L116)),OR($M116="—",$M116="")),1,0)</f>
        <v>0</v>
      </c>
      <c r="Y116" s="186" t="n">
        <f aca="false">IF(AND(OR($F116="Analogy",$F116="Assumed",$F116="Derived（待改公式）",$F116="Derived（公式）"),OR($N116="—",$N116="",$N116=0)),1,0)</f>
        <v>0</v>
      </c>
      <c r="Z116" s="186" t="n">
        <f aca="false">IF(AND($F116="Decision",OR($J116="—",$J116="")),1,0)</f>
        <v>0</v>
      </c>
      <c r="AA116" s="183" t="n">
        <f aca="false">IF(OR($J116="—",$J116=""),0,IF(COUNTIF(Decisions!$A$5:$A$300,$J116)=0,1,0))</f>
        <v>0</v>
      </c>
      <c r="AB116" s="186" t="n">
        <f aca="false">IF(AND($F116="原始數據",$S116&lt;&gt;"Active"),1,0)</f>
        <v>0</v>
      </c>
      <c r="AC116" s="186" t="n">
        <f aca="false">IF(AND(ISNUMBER($K116),ISNUMBER($L116),ISNUMBER($Q116)),IF(OR($Q116&lt;MIN($K116,$L116),$Q116&gt;MAX($K116,$L116)),1,0),0)</f>
        <v>0</v>
      </c>
      <c r="AD116" s="186" t="n">
        <f aca="false">IF(AND(ISNUMBER($T116),$P116="高"),IF($T116=3,1,0),0)</f>
        <v>0</v>
      </c>
      <c r="AE116" s="186" t="n">
        <f aca="false">IF($S116="不存在",1,0)</f>
        <v>0</v>
      </c>
      <c r="AF116" s="35" t="n">
        <f aca="false">IF(OR($H116="—",$H116=""),"—",MATCH($H116,IDX_SrcID,0))</f>
        <v>26</v>
      </c>
      <c r="AG116" s="104" t="n">
        <f aca="false">IF(AND($P116="高",OR($AD116=1,$X116=1)),1,0)</f>
        <v>0</v>
      </c>
      <c r="AH116" s="104" t="n">
        <f aca="false">IF(AND($P116="高",$AG116=0,OR($F116&lt;&gt;"原始數據",$T116&lt;&gt;1)),1,0)</f>
        <v>0</v>
      </c>
      <c r="AI116" s="53" t="str">
        <f aca="false">IF(AND($P116="高",ISNUMBER($AF116)),INDEX(IDX_SrcDate,$AF116),"—")</f>
        <v>—</v>
      </c>
      <c r="AJ116" s="104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6" t="s">
        <v>3494</v>
      </c>
      <c r="B117" s="215" t="s">
        <v>3183</v>
      </c>
      <c r="C117" s="36" t="s">
        <v>3341</v>
      </c>
      <c r="D117" s="36" t="s">
        <v>3495</v>
      </c>
      <c r="E117" s="6" t="s">
        <v>197</v>
      </c>
      <c r="F117" s="215" t="s">
        <v>298</v>
      </c>
      <c r="G117" s="215" t="s">
        <v>3185</v>
      </c>
      <c r="H117" s="36" t="s">
        <v>3496</v>
      </c>
      <c r="I117" s="19" t="s">
        <v>3220</v>
      </c>
      <c r="J117" s="36" t="s">
        <v>587</v>
      </c>
      <c r="K117" s="215"/>
      <c r="L117" s="215"/>
      <c r="M117" s="36" t="s">
        <v>587</v>
      </c>
      <c r="N117" s="19" t="s">
        <v>3406</v>
      </c>
      <c r="O117" s="6" t="s">
        <v>587</v>
      </c>
      <c r="P117" s="215" t="s">
        <v>3244</v>
      </c>
      <c r="Q117" s="41" t="n">
        <f aca="false">Spec_Rack!F25</f>
        <v>288</v>
      </c>
      <c r="R117" s="185" t="n">
        <f aca="false">SRC_HW_029</f>
        <v>288</v>
      </c>
      <c r="S117" s="35" t="str">
        <f aca="false">IF(ISNUMBER($AF117),INDEX(IDX_SrcStat,$AF117),"—")</f>
        <v>Active</v>
      </c>
      <c r="T117" s="35" t="n">
        <f aca="false">IF(ISNUMBER($AF117),INDEX(IDX_SrcGrade,$AF117),"—")</f>
        <v>3</v>
      </c>
      <c r="U117" s="35" t="s">
        <v>3222</v>
      </c>
      <c r="V117" s="186" t="n">
        <f aca="false">IF(AND($F117="原始數據",$U117&lt;&gt;"連結 SRC"),1,0)</f>
        <v>0</v>
      </c>
      <c r="W117" s="186" t="n">
        <f aca="false">IF(AND($F117="Analogy",OR($H117="—",$H117="")),1,0)</f>
        <v>0</v>
      </c>
      <c r="X117" s="186" t="n">
        <f aca="false">IF(AND(OR($F117="Analogy",$F117="Assumed"),$G117&lt;&gt;"低",$G117&lt;&gt;"高",NOT(ISNUMBER($K117)),NOT(ISNUMBER($L117)),OR($M117="—",$M117="")),1,0)</f>
        <v>0</v>
      </c>
      <c r="Y117" s="186" t="n">
        <f aca="false">IF(AND(OR($F117="Analogy",$F117="Assumed",$F117="Derived（待改公式）",$F117="Derived（公式）"),OR($N117="—",$N117="",$N117=0)),1,0)</f>
        <v>0</v>
      </c>
      <c r="Z117" s="186" t="n">
        <f aca="false">IF(AND($F117="Decision",OR($J117="—",$J117="")),1,0)</f>
        <v>0</v>
      </c>
      <c r="AA117" s="183" t="n">
        <f aca="false">IF(OR($J117="—",$J117=""),0,IF(COUNTIF(Decisions!$A$5:$A$300,$J117)=0,1,0))</f>
        <v>0</v>
      </c>
      <c r="AB117" s="186" t="n">
        <f aca="false">IF(AND($F117="原始數據",$S117&lt;&gt;"Active"),1,0)</f>
        <v>0</v>
      </c>
      <c r="AC117" s="186" t="n">
        <f aca="false">IF(AND(ISNUMBER($K117),ISNUMBER($L117),ISNUMBER($Q117)),IF(OR($Q117&lt;MIN($K117,$L117),$Q117&gt;MAX($K117,$L117)),1,0),0)</f>
        <v>0</v>
      </c>
      <c r="AD117" s="186" t="n">
        <f aca="false">IF(AND(ISNUMBER($T117),$P117="高"),IF($T117=3,1,0),0)</f>
        <v>0</v>
      </c>
      <c r="AE117" s="186" t="n">
        <f aca="false">IF($S117="不存在",1,0)</f>
        <v>0</v>
      </c>
      <c r="AF117" s="35" t="n">
        <f aca="false">IF(OR($H117="—",$H117=""),"—",MATCH($H117,IDX_SrcID,0))</f>
        <v>29</v>
      </c>
      <c r="AG117" s="104" t="n">
        <f aca="false">IF(AND($P117="高",OR($AD117=1,$X117=1)),1,0)</f>
        <v>0</v>
      </c>
      <c r="AH117" s="104" t="n">
        <f aca="false">IF(AND($P117="高",$AG117=0,OR($F117&lt;&gt;"原始數據",$T117&lt;&gt;1)),1,0)</f>
        <v>0</v>
      </c>
      <c r="AI117" s="53" t="str">
        <f aca="false">IF(AND($P117="高",ISNUMBER($AF117)),INDEX(IDX_SrcDate,$AF117),"—")</f>
        <v>—</v>
      </c>
      <c r="AJ117" s="104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6" t="s">
        <v>3497</v>
      </c>
      <c r="B118" s="215" t="s">
        <v>3183</v>
      </c>
      <c r="C118" s="36" t="s">
        <v>3341</v>
      </c>
      <c r="D118" s="36" t="s">
        <v>3498</v>
      </c>
      <c r="E118" s="6" t="s">
        <v>197</v>
      </c>
      <c r="F118" s="36" t="s">
        <v>80</v>
      </c>
      <c r="G118" s="215" t="s">
        <v>65</v>
      </c>
      <c r="H118" s="36" t="s">
        <v>587</v>
      </c>
      <c r="I118" s="6" t="s">
        <v>587</v>
      </c>
      <c r="J118" s="36" t="s">
        <v>587</v>
      </c>
      <c r="K118" s="185" t="n">
        <f aca="false">Spec_Rack!G25*0.7</f>
        <v>716.8</v>
      </c>
      <c r="L118" s="185" t="n">
        <f aca="false">Spec_Rack!G25*1.3</f>
        <v>1331.2</v>
      </c>
      <c r="M118" s="36" t="s">
        <v>3465</v>
      </c>
      <c r="N118" s="6" t="s">
        <v>3499</v>
      </c>
      <c r="O118" s="6" t="s">
        <v>587</v>
      </c>
      <c r="P118" s="215" t="s">
        <v>3244</v>
      </c>
      <c r="Q118" s="41" t="n">
        <f aca="false">Spec_Rack!G25</f>
        <v>1024</v>
      </c>
      <c r="R118" s="36" t="s">
        <v>587</v>
      </c>
      <c r="S118" s="35" t="str">
        <f aca="false">IF(ISNUMBER($AF118),INDEX(IDX_SrcStat,$AF118),"—")</f>
        <v>—</v>
      </c>
      <c r="T118" s="35" t="str">
        <f aca="false">IF(ISNUMBER($AF118),INDEX(IDX_SrcGrade,$AF118),"—")</f>
        <v>—</v>
      </c>
      <c r="U118" s="35" t="s">
        <v>3189</v>
      </c>
      <c r="V118" s="186" t="n">
        <f aca="false">IF(AND($F118="原始數據",$U118&lt;&gt;"連結 SRC"),1,0)</f>
        <v>0</v>
      </c>
      <c r="W118" s="186" t="n">
        <f aca="false">IF(AND($F118="Analogy",OR($H118="—",$H118="")),1,0)</f>
        <v>0</v>
      </c>
      <c r="X118" s="186" t="n">
        <f aca="false">IF(AND(OR($F118="Analogy",$F118="Assumed"),$G118&lt;&gt;"低",$G118&lt;&gt;"高",NOT(ISNUMBER($K118)),NOT(ISNUMBER($L118)),OR($M118="—",$M118="")),1,0)</f>
        <v>0</v>
      </c>
      <c r="Y118" s="186" t="n">
        <f aca="false">IF(AND(OR($F118="Analogy",$F118="Assumed",$F118="Derived（待改公式）",$F118="Derived（公式）"),OR($N118="—",$N118="",$N118=0)),1,0)</f>
        <v>0</v>
      </c>
      <c r="Z118" s="186" t="n">
        <f aca="false">IF(AND($F118="Decision",OR($J118="—",$J118="")),1,0)</f>
        <v>0</v>
      </c>
      <c r="AA118" s="183" t="n">
        <f aca="false">IF(OR($J118="—",$J118=""),0,IF(COUNTIF(Decisions!$A$5:$A$300,$J118)=0,1,0))</f>
        <v>0</v>
      </c>
      <c r="AB118" s="186" t="n">
        <f aca="false">IF(AND($F118="原始數據",$S118&lt;&gt;"Active"),1,0)</f>
        <v>0</v>
      </c>
      <c r="AC118" s="186" t="n">
        <f aca="false">IF(AND(ISNUMBER($K118),ISNUMBER($L118),ISNUMBER($Q118)),IF(OR($Q118&lt;MIN($K118,$L118),$Q118&gt;MAX($K118,$L118)),1,0),0)</f>
        <v>0</v>
      </c>
      <c r="AD118" s="186" t="n">
        <f aca="false">IF(AND(ISNUMBER($T118),$P118="高"),IF($T118=3,1,0),0)</f>
        <v>0</v>
      </c>
      <c r="AE118" s="186" t="n">
        <f aca="false">IF($S118="不存在",1,0)</f>
        <v>0</v>
      </c>
      <c r="AF118" s="35" t="str">
        <f aca="false">IF(OR($H118="—",$H118=""),"—",MATCH($H118,IDX_SrcID,0))</f>
        <v>—</v>
      </c>
      <c r="AG118" s="104" t="n">
        <f aca="false">IF(AND($P118="高",OR($AD118=1,$X118=1)),1,0)</f>
        <v>0</v>
      </c>
      <c r="AH118" s="104" t="n">
        <f aca="false">IF(AND($P118="高",$AG118=0,OR($F118&lt;&gt;"原始數據",$T118&lt;&gt;1)),1,0)</f>
        <v>0</v>
      </c>
      <c r="AI118" s="53" t="str">
        <f aca="false">IF(AND($P118="高",ISNUMBER($AF118)),INDEX(IDX_SrcDate,$AF118),"—")</f>
        <v>—</v>
      </c>
      <c r="AJ118" s="104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6" t="s">
        <v>3500</v>
      </c>
      <c r="B119" s="215" t="s">
        <v>3183</v>
      </c>
      <c r="C119" s="36" t="s">
        <v>3341</v>
      </c>
      <c r="D119" s="36" t="s">
        <v>3501</v>
      </c>
      <c r="E119" s="6" t="s">
        <v>199</v>
      </c>
      <c r="F119" s="215" t="s">
        <v>298</v>
      </c>
      <c r="G119" s="215" t="s">
        <v>3185</v>
      </c>
      <c r="H119" s="36" t="s">
        <v>3502</v>
      </c>
      <c r="I119" s="19" t="s">
        <v>3220</v>
      </c>
      <c r="J119" s="36" t="s">
        <v>587</v>
      </c>
      <c r="K119" s="215"/>
      <c r="L119" s="215"/>
      <c r="M119" s="36" t="s">
        <v>587</v>
      </c>
      <c r="N119" s="19" t="s">
        <v>3406</v>
      </c>
      <c r="O119" s="6" t="s">
        <v>587</v>
      </c>
      <c r="P119" s="215" t="s">
        <v>3244</v>
      </c>
      <c r="Q119" s="43" t="n">
        <f aca="false">Spec_Rack!C26</f>
        <v>3.35</v>
      </c>
      <c r="R119" s="185" t="n">
        <f aca="false">SRC_HW_021</f>
        <v>3.35</v>
      </c>
      <c r="S119" s="35" t="str">
        <f aca="false">IF(ISNUMBER($AF119),INDEX(IDX_SrcStat,$AF119),"—")</f>
        <v>Active</v>
      </c>
      <c r="T119" s="35" t="n">
        <f aca="false">IF(ISNUMBER($AF119),INDEX(IDX_SrcGrade,$AF119),"—")</f>
        <v>3</v>
      </c>
      <c r="U119" s="35" t="s">
        <v>3222</v>
      </c>
      <c r="V119" s="186" t="n">
        <f aca="false">IF(AND($F119="原始數據",$U119&lt;&gt;"連結 SRC"),1,0)</f>
        <v>0</v>
      </c>
      <c r="W119" s="186" t="n">
        <f aca="false">IF(AND($F119="Analogy",OR($H119="—",$H119="")),1,0)</f>
        <v>0</v>
      </c>
      <c r="X119" s="186" t="n">
        <f aca="false">IF(AND(OR($F119="Analogy",$F119="Assumed"),$G119&lt;&gt;"低",$G119&lt;&gt;"高",NOT(ISNUMBER($K119)),NOT(ISNUMBER($L119)),OR($M119="—",$M119="")),1,0)</f>
        <v>0</v>
      </c>
      <c r="Y119" s="186" t="n">
        <f aca="false">IF(AND(OR($F119="Analogy",$F119="Assumed",$F119="Derived（待改公式）",$F119="Derived（公式）"),OR($N119="—",$N119="",$N119=0)),1,0)</f>
        <v>0</v>
      </c>
      <c r="Z119" s="186" t="n">
        <f aca="false">IF(AND($F119="Decision",OR($J119="—",$J119="")),1,0)</f>
        <v>0</v>
      </c>
      <c r="AA119" s="183" t="n">
        <f aca="false">IF(OR($J119="—",$J119=""),0,IF(COUNTIF(Decisions!$A$5:$A$300,$J119)=0,1,0))</f>
        <v>0</v>
      </c>
      <c r="AB119" s="186" t="n">
        <f aca="false">IF(AND($F119="原始數據",$S119&lt;&gt;"Active"),1,0)</f>
        <v>0</v>
      </c>
      <c r="AC119" s="186" t="n">
        <f aca="false">IF(AND(ISNUMBER($K119),ISNUMBER($L119),ISNUMBER($Q119)),IF(OR($Q119&lt;MIN($K119,$L119),$Q119&gt;MAX($K119,$L119)),1,0),0)</f>
        <v>0</v>
      </c>
      <c r="AD119" s="186" t="n">
        <f aca="false">IF(AND(ISNUMBER($T119),$P119="高"),IF($T119=3,1,0),0)</f>
        <v>0</v>
      </c>
      <c r="AE119" s="186" t="n">
        <f aca="false">IF($S119="不存在",1,0)</f>
        <v>0</v>
      </c>
      <c r="AF119" s="35" t="n">
        <f aca="false">IF(OR($H119="—",$H119=""),"—",MATCH($H119,IDX_SrcID,0))</f>
        <v>21</v>
      </c>
      <c r="AG119" s="104" t="n">
        <f aca="false">IF(AND($P119="高",OR($AD119=1,$X119=1)),1,0)</f>
        <v>0</v>
      </c>
      <c r="AH119" s="104" t="n">
        <f aca="false">IF(AND($P119="高",$AG119=0,OR($F119&lt;&gt;"原始數據",$T119&lt;&gt;1)),1,0)</f>
        <v>0</v>
      </c>
      <c r="AI119" s="53" t="str">
        <f aca="false">IF(AND($P119="高",ISNUMBER($AF119)),INDEX(IDX_SrcDate,$AF119),"—")</f>
        <v>—</v>
      </c>
      <c r="AJ119" s="104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6" t="s">
        <v>3503</v>
      </c>
      <c r="B120" s="215" t="s">
        <v>3183</v>
      </c>
      <c r="C120" s="36" t="s">
        <v>3341</v>
      </c>
      <c r="D120" s="36" t="s">
        <v>3504</v>
      </c>
      <c r="E120" s="6" t="s">
        <v>199</v>
      </c>
      <c r="F120" s="215" t="s">
        <v>298</v>
      </c>
      <c r="G120" s="215" t="s">
        <v>3185</v>
      </c>
      <c r="H120" s="36" t="s">
        <v>3505</v>
      </c>
      <c r="I120" s="19" t="s">
        <v>3220</v>
      </c>
      <c r="J120" s="36" t="s">
        <v>587</v>
      </c>
      <c r="K120" s="215"/>
      <c r="L120" s="215"/>
      <c r="M120" s="36" t="s">
        <v>587</v>
      </c>
      <c r="N120" s="19" t="s">
        <v>3406</v>
      </c>
      <c r="O120" s="6" t="s">
        <v>587</v>
      </c>
      <c r="P120" s="215" t="s">
        <v>3244</v>
      </c>
      <c r="Q120" s="43" t="n">
        <f aca="false">Spec_Rack!D26</f>
        <v>8</v>
      </c>
      <c r="R120" s="185" t="n">
        <f aca="false">SRC_HW_023</f>
        <v>8</v>
      </c>
      <c r="S120" s="35" t="str">
        <f aca="false">IF(ISNUMBER($AF120),INDEX(IDX_SrcStat,$AF120),"—")</f>
        <v>Active</v>
      </c>
      <c r="T120" s="35" t="n">
        <f aca="false">IF(ISNUMBER($AF120),INDEX(IDX_SrcGrade,$AF120),"—")</f>
        <v>3</v>
      </c>
      <c r="U120" s="35" t="s">
        <v>3222</v>
      </c>
      <c r="V120" s="186" t="n">
        <f aca="false">IF(AND($F120="原始數據",$U120&lt;&gt;"連結 SRC"),1,0)</f>
        <v>0</v>
      </c>
      <c r="W120" s="186" t="n">
        <f aca="false">IF(AND($F120="Analogy",OR($H120="—",$H120="")),1,0)</f>
        <v>0</v>
      </c>
      <c r="X120" s="186" t="n">
        <f aca="false">IF(AND(OR($F120="Analogy",$F120="Assumed"),$G120&lt;&gt;"低",$G120&lt;&gt;"高",NOT(ISNUMBER($K120)),NOT(ISNUMBER($L120)),OR($M120="—",$M120="")),1,0)</f>
        <v>0</v>
      </c>
      <c r="Y120" s="186" t="n">
        <f aca="false">IF(AND(OR($F120="Analogy",$F120="Assumed",$F120="Derived（待改公式）",$F120="Derived（公式）"),OR($N120="—",$N120="",$N120=0)),1,0)</f>
        <v>0</v>
      </c>
      <c r="Z120" s="186" t="n">
        <f aca="false">IF(AND($F120="Decision",OR($J120="—",$J120="")),1,0)</f>
        <v>0</v>
      </c>
      <c r="AA120" s="183" t="n">
        <f aca="false">IF(OR($J120="—",$J120=""),0,IF(COUNTIF(Decisions!$A$5:$A$300,$J120)=0,1,0))</f>
        <v>0</v>
      </c>
      <c r="AB120" s="186" t="n">
        <f aca="false">IF(AND($F120="原始數據",$S120&lt;&gt;"Active"),1,0)</f>
        <v>0</v>
      </c>
      <c r="AC120" s="186" t="n">
        <f aca="false">IF(AND(ISNUMBER($K120),ISNUMBER($L120),ISNUMBER($Q120)),IF(OR($Q120&lt;MIN($K120,$L120),$Q120&gt;MAX($K120,$L120)),1,0),0)</f>
        <v>0</v>
      </c>
      <c r="AD120" s="186" t="n">
        <f aca="false">IF(AND(ISNUMBER($T120),$P120="高"),IF($T120=3,1,0),0)</f>
        <v>0</v>
      </c>
      <c r="AE120" s="186" t="n">
        <f aca="false">IF($S120="不存在",1,0)</f>
        <v>0</v>
      </c>
      <c r="AF120" s="35" t="n">
        <f aca="false">IF(OR($H120="—",$H120=""),"—",MATCH($H120,IDX_SrcID,0))</f>
        <v>23</v>
      </c>
      <c r="AG120" s="104" t="n">
        <f aca="false">IF(AND($P120="高",OR($AD120=1,$X120=1)),1,0)</f>
        <v>0</v>
      </c>
      <c r="AH120" s="104" t="n">
        <f aca="false">IF(AND($P120="高",$AG120=0,OR($F120&lt;&gt;"原始數據",$T120&lt;&gt;1)),1,0)</f>
        <v>0</v>
      </c>
      <c r="AI120" s="53" t="str">
        <f aca="false">IF(AND($P120="高",ISNUMBER($AF120)),INDEX(IDX_SrcDate,$AF120),"—")</f>
        <v>—</v>
      </c>
      <c r="AJ120" s="104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6" t="s">
        <v>3506</v>
      </c>
      <c r="B121" s="215" t="s">
        <v>3183</v>
      </c>
      <c r="C121" s="36" t="s">
        <v>3341</v>
      </c>
      <c r="D121" s="36" t="s">
        <v>3333</v>
      </c>
      <c r="E121" s="6" t="s">
        <v>199</v>
      </c>
      <c r="F121" s="215" t="s">
        <v>298</v>
      </c>
      <c r="G121" s="215" t="s">
        <v>3185</v>
      </c>
      <c r="H121" s="36" t="s">
        <v>3507</v>
      </c>
      <c r="I121" s="19" t="s">
        <v>3220</v>
      </c>
      <c r="J121" s="36" t="s">
        <v>587</v>
      </c>
      <c r="K121" s="215"/>
      <c r="L121" s="215"/>
      <c r="M121" s="36" t="s">
        <v>587</v>
      </c>
      <c r="N121" s="19" t="s">
        <v>3406</v>
      </c>
      <c r="O121" s="6" t="s">
        <v>587</v>
      </c>
      <c r="P121" s="215" t="s">
        <v>3244</v>
      </c>
      <c r="Q121" s="43" t="n">
        <f aca="false">Spec_Rack!E26</f>
        <v>8</v>
      </c>
      <c r="R121" s="185" t="n">
        <f aca="false">SRC_HW_059</f>
        <v>8</v>
      </c>
      <c r="S121" s="35" t="str">
        <f aca="false">IF(ISNUMBER($AF121),INDEX(IDX_SrcStat,$AF121),"—")</f>
        <v>Active</v>
      </c>
      <c r="T121" s="35" t="n">
        <f aca="false">IF(ISNUMBER($AF121),INDEX(IDX_SrcGrade,$AF121),"—")</f>
        <v>3</v>
      </c>
      <c r="U121" s="35" t="s">
        <v>3222</v>
      </c>
      <c r="V121" s="186" t="n">
        <f aca="false">IF(AND($F121="原始數據",$U121&lt;&gt;"連結 SRC"),1,0)</f>
        <v>0</v>
      </c>
      <c r="W121" s="186" t="n">
        <f aca="false">IF(AND($F121="Analogy",OR($H121="—",$H121="")),1,0)</f>
        <v>0</v>
      </c>
      <c r="X121" s="186" t="n">
        <f aca="false">IF(AND(OR($F121="Analogy",$F121="Assumed"),$G121&lt;&gt;"低",$G121&lt;&gt;"高",NOT(ISNUMBER($K121)),NOT(ISNUMBER($L121)),OR($M121="—",$M121="")),1,0)</f>
        <v>0</v>
      </c>
      <c r="Y121" s="186" t="n">
        <f aca="false">IF(AND(OR($F121="Analogy",$F121="Assumed",$F121="Derived（待改公式）",$F121="Derived（公式）"),OR($N121="—",$N121="",$N121=0)),1,0)</f>
        <v>0</v>
      </c>
      <c r="Z121" s="186" t="n">
        <f aca="false">IF(AND($F121="Decision",OR($J121="—",$J121="")),1,0)</f>
        <v>0</v>
      </c>
      <c r="AA121" s="183" t="n">
        <f aca="false">IF(OR($J121="—",$J121=""),0,IF(COUNTIF(Decisions!$A$5:$A$300,$J121)=0,1,0))</f>
        <v>0</v>
      </c>
      <c r="AB121" s="186" t="n">
        <f aca="false">IF(AND($F121="原始數據",$S121&lt;&gt;"Active"),1,0)</f>
        <v>0</v>
      </c>
      <c r="AC121" s="186" t="n">
        <f aca="false">IF(AND(ISNUMBER($K121),ISNUMBER($L121),ISNUMBER($Q121)),IF(OR($Q121&lt;MIN($K121,$L121),$Q121&gt;MAX($K121,$L121)),1,0),0)</f>
        <v>0</v>
      </c>
      <c r="AD121" s="186" t="n">
        <f aca="false">IF(AND(ISNUMBER($T121),$P121="高"),IF($T121=3,1,0),0)</f>
        <v>0</v>
      </c>
      <c r="AE121" s="186" t="n">
        <f aca="false">IF($S121="不存在",1,0)</f>
        <v>0</v>
      </c>
      <c r="AF121" s="35" t="n">
        <f aca="false">IF(OR($H121="—",$H121=""),"—",MATCH($H121,IDX_SrcID,0))</f>
        <v>59</v>
      </c>
      <c r="AG121" s="104" t="n">
        <f aca="false">IF(AND($P121="高",OR($AD121=1,$X121=1)),1,0)</f>
        <v>0</v>
      </c>
      <c r="AH121" s="104" t="n">
        <f aca="false">IF(AND($P121="高",$AG121=0,OR($F121&lt;&gt;"原始數據",$T121&lt;&gt;1)),1,0)</f>
        <v>0</v>
      </c>
      <c r="AI121" s="53" t="str">
        <f aca="false">IF(AND($P121="高",ISNUMBER($AF121)),INDEX(IDX_SrcDate,$AF121),"—")</f>
        <v>—</v>
      </c>
      <c r="AJ121" s="104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6" t="s">
        <v>3508</v>
      </c>
      <c r="B122" s="215" t="s">
        <v>3183</v>
      </c>
      <c r="C122" s="36" t="s">
        <v>3341</v>
      </c>
      <c r="D122" s="36" t="s">
        <v>3509</v>
      </c>
      <c r="E122" s="6" t="s">
        <v>199</v>
      </c>
      <c r="F122" s="215" t="s">
        <v>298</v>
      </c>
      <c r="G122" s="215" t="s">
        <v>3185</v>
      </c>
      <c r="H122" s="36" t="s">
        <v>3510</v>
      </c>
      <c r="I122" s="19" t="s">
        <v>3220</v>
      </c>
      <c r="J122" s="36" t="s">
        <v>587</v>
      </c>
      <c r="K122" s="215"/>
      <c r="L122" s="215"/>
      <c r="M122" s="36" t="s">
        <v>587</v>
      </c>
      <c r="N122" s="19" t="s">
        <v>3406</v>
      </c>
      <c r="O122" s="6" t="s">
        <v>587</v>
      </c>
      <c r="P122" s="215" t="s">
        <v>3244</v>
      </c>
      <c r="Q122" s="43" t="n">
        <f aca="false">Spec_Rack!F26</f>
        <v>22</v>
      </c>
      <c r="R122" s="185" t="n">
        <f aca="false">SRC_HW_030</f>
        <v>22</v>
      </c>
      <c r="S122" s="35" t="str">
        <f aca="false">IF(ISNUMBER($AF122),INDEX(IDX_SrcStat,$AF122),"—")</f>
        <v>Active</v>
      </c>
      <c r="T122" s="35" t="n">
        <f aca="false">IF(ISNUMBER($AF122),INDEX(IDX_SrcGrade,$AF122),"—")</f>
        <v>3</v>
      </c>
      <c r="U122" s="35" t="s">
        <v>3222</v>
      </c>
      <c r="V122" s="186" t="n">
        <f aca="false">IF(AND($F122="原始數據",$U122&lt;&gt;"連結 SRC"),1,0)</f>
        <v>0</v>
      </c>
      <c r="W122" s="186" t="n">
        <f aca="false">IF(AND($F122="Analogy",OR($H122="—",$H122="")),1,0)</f>
        <v>0</v>
      </c>
      <c r="X122" s="186" t="n">
        <f aca="false">IF(AND(OR($F122="Analogy",$F122="Assumed"),$G122&lt;&gt;"低",$G122&lt;&gt;"高",NOT(ISNUMBER($K122)),NOT(ISNUMBER($L122)),OR($M122="—",$M122="")),1,0)</f>
        <v>0</v>
      </c>
      <c r="Y122" s="186" t="n">
        <f aca="false">IF(AND(OR($F122="Analogy",$F122="Assumed",$F122="Derived（待改公式）",$F122="Derived（公式）"),OR($N122="—",$N122="",$N122=0)),1,0)</f>
        <v>0</v>
      </c>
      <c r="Z122" s="186" t="n">
        <f aca="false">IF(AND($F122="Decision",OR($J122="—",$J122="")),1,0)</f>
        <v>0</v>
      </c>
      <c r="AA122" s="183" t="n">
        <f aca="false">IF(OR($J122="—",$J122=""),0,IF(COUNTIF(Decisions!$A$5:$A$300,$J122)=0,1,0))</f>
        <v>0</v>
      </c>
      <c r="AB122" s="186" t="n">
        <f aca="false">IF(AND($F122="原始數據",$S122&lt;&gt;"Active"),1,0)</f>
        <v>0</v>
      </c>
      <c r="AC122" s="186" t="n">
        <f aca="false">IF(AND(ISNUMBER($K122),ISNUMBER($L122),ISNUMBER($Q122)),IF(OR($Q122&lt;MIN($K122,$L122),$Q122&gt;MAX($K122,$L122)),1,0),0)</f>
        <v>0</v>
      </c>
      <c r="AD122" s="186" t="n">
        <f aca="false">IF(AND(ISNUMBER($T122),$P122="高"),IF($T122=3,1,0),0)</f>
        <v>0</v>
      </c>
      <c r="AE122" s="186" t="n">
        <f aca="false">IF($S122="不存在",1,0)</f>
        <v>0</v>
      </c>
      <c r="AF122" s="35" t="n">
        <f aca="false">IF(OR($H122="—",$H122=""),"—",MATCH($H122,IDX_SrcID,0))</f>
        <v>30</v>
      </c>
      <c r="AG122" s="104" t="n">
        <f aca="false">IF(AND($P122="高",OR($AD122=1,$X122=1)),1,0)</f>
        <v>0</v>
      </c>
      <c r="AH122" s="104" t="n">
        <f aca="false">IF(AND($P122="高",$AG122=0,OR($F122&lt;&gt;"原始數據",$T122&lt;&gt;1)),1,0)</f>
        <v>0</v>
      </c>
      <c r="AI122" s="53" t="str">
        <f aca="false">IF(AND($P122="高",ISNUMBER($AF122)),INDEX(IDX_SrcDate,$AF122),"—")</f>
        <v>—</v>
      </c>
      <c r="AJ122" s="104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6" t="s">
        <v>3511</v>
      </c>
      <c r="B123" s="215" t="s">
        <v>3183</v>
      </c>
      <c r="C123" s="36" t="s">
        <v>3341</v>
      </c>
      <c r="D123" s="36" t="s">
        <v>3512</v>
      </c>
      <c r="E123" s="6" t="s">
        <v>199</v>
      </c>
      <c r="F123" s="215" t="s">
        <v>3370</v>
      </c>
      <c r="G123" s="215" t="s">
        <v>3185</v>
      </c>
      <c r="H123" s="36" t="s">
        <v>3513</v>
      </c>
      <c r="I123" s="19" t="s">
        <v>3514</v>
      </c>
      <c r="J123" s="36" t="s">
        <v>587</v>
      </c>
      <c r="K123" s="215"/>
      <c r="L123" s="215"/>
      <c r="M123" s="36" t="s">
        <v>587</v>
      </c>
      <c r="N123" s="19" t="s">
        <v>3515</v>
      </c>
      <c r="O123" s="6" t="s">
        <v>587</v>
      </c>
      <c r="P123" s="215" t="s">
        <v>3244</v>
      </c>
      <c r="Q123" s="43" t="n">
        <f aca="false">Spec_Rack!G26</f>
        <v>32</v>
      </c>
      <c r="R123" s="185" t="n">
        <f aca="false">SRC_HW_044</f>
        <v>4600</v>
      </c>
      <c r="S123" s="35" t="str">
        <f aca="false">IF(ISNUMBER($AF123),INDEX(IDX_SrcStat,$AF123),"—")</f>
        <v>Active</v>
      </c>
      <c r="T123" s="35" t="n">
        <f aca="false">IF(ISNUMBER($AF123),INDEX(IDX_SrcGrade,$AF123),"—")</f>
        <v>3</v>
      </c>
      <c r="U123" s="35" t="s">
        <v>3189</v>
      </c>
      <c r="V123" s="186" t="n">
        <f aca="false">IF(AND($F123="原始數據",$U123&lt;&gt;"連結 SRC"),1,0)</f>
        <v>0</v>
      </c>
      <c r="W123" s="186" t="n">
        <f aca="false">IF(AND($F123="Analogy",OR($H123="—",$H123="")),1,0)</f>
        <v>0</v>
      </c>
      <c r="X123" s="186" t="n">
        <f aca="false">IF(AND(OR($F123="Analogy",$F123="Assumed"),$G123&lt;&gt;"低",$G123&lt;&gt;"高",NOT(ISNUMBER($K123)),NOT(ISNUMBER($L123)),OR($M123="—",$M123="")),1,0)</f>
        <v>0</v>
      </c>
      <c r="Y123" s="186" t="n">
        <f aca="false">IF(AND(OR($F123="Analogy",$F123="Assumed",$F123="Derived（待改公式）",$F123="Derived（公式）"),OR($N123="—",$N123="",$N123=0)),1,0)</f>
        <v>0</v>
      </c>
      <c r="Z123" s="186" t="n">
        <f aca="false">IF(AND($F123="Decision",OR($J123="—",$J123="")),1,0)</f>
        <v>0</v>
      </c>
      <c r="AA123" s="183" t="n">
        <f aca="false">IF(OR($J123="—",$J123=""),0,IF(COUNTIF(Decisions!$A$5:$A$300,$J123)=0,1,0))</f>
        <v>0</v>
      </c>
      <c r="AB123" s="186" t="n">
        <f aca="false">IF(AND($F123="原始數據",$S123&lt;&gt;"Active"),1,0)</f>
        <v>0</v>
      </c>
      <c r="AC123" s="186" t="n">
        <f aca="false">IF(AND(ISNUMBER($K123),ISNUMBER($L123),ISNUMBER($Q123)),IF(OR($Q123&lt;MIN($K123,$L123),$Q123&gt;MAX($K123,$L123)),1,0),0)</f>
        <v>0</v>
      </c>
      <c r="AD123" s="186" t="n">
        <f aca="false">IF(AND(ISNUMBER($T123),$P123="高"),IF($T123=3,1,0),0)</f>
        <v>0</v>
      </c>
      <c r="AE123" s="186" t="n">
        <f aca="false">IF($S123="不存在",1,0)</f>
        <v>0</v>
      </c>
      <c r="AF123" s="35" t="n">
        <f aca="false">IF(OR($H123="—",$H123=""),"—",MATCH($H123,IDX_SrcID,0))</f>
        <v>44</v>
      </c>
      <c r="AG123" s="104" t="n">
        <f aca="false">IF(AND($P123="高",OR($AD123=1,$X123=1)),1,0)</f>
        <v>0</v>
      </c>
      <c r="AH123" s="104" t="n">
        <f aca="false">IF(AND($P123="高",$AG123=0,OR($F123&lt;&gt;"原始數據",$T123&lt;&gt;1)),1,0)</f>
        <v>0</v>
      </c>
      <c r="AI123" s="53" t="str">
        <f aca="false">IF(AND($P123="高",ISNUMBER($AF123)),INDEX(IDX_SrcDate,$AF123),"—")</f>
        <v>—</v>
      </c>
      <c r="AJ123" s="104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6" t="s">
        <v>3516</v>
      </c>
      <c r="B124" s="215" t="s">
        <v>3183</v>
      </c>
      <c r="C124" s="36" t="s">
        <v>3341</v>
      </c>
      <c r="D124" s="36" t="s">
        <v>3517</v>
      </c>
      <c r="E124" s="6" t="s">
        <v>201</v>
      </c>
      <c r="F124" s="215" t="s">
        <v>298</v>
      </c>
      <c r="G124" s="215" t="s">
        <v>3185</v>
      </c>
      <c r="H124" s="36" t="s">
        <v>3518</v>
      </c>
      <c r="I124" s="19" t="s">
        <v>3519</v>
      </c>
      <c r="J124" s="36" t="s">
        <v>587</v>
      </c>
      <c r="K124" s="215"/>
      <c r="L124" s="215"/>
      <c r="M124" s="36" t="s">
        <v>587</v>
      </c>
      <c r="N124" s="19" t="s">
        <v>3318</v>
      </c>
      <c r="O124" s="6" t="s">
        <v>587</v>
      </c>
      <c r="P124" s="215" t="s">
        <v>3188</v>
      </c>
      <c r="Q124" s="43" t="n">
        <f aca="false">Spec_Rack!C27</f>
        <v>0.05</v>
      </c>
      <c r="R124" s="185" t="n">
        <f aca="false">SRC_HW_060</f>
        <v>400</v>
      </c>
      <c r="S124" s="35" t="str">
        <f aca="false">IF(ISNUMBER($AF124),INDEX(IDX_SrcStat,$AF124),"—")</f>
        <v>Active</v>
      </c>
      <c r="T124" s="35" t="n">
        <f aca="false">IF(ISNUMBER($AF124),INDEX(IDX_SrcGrade,$AF124),"—")</f>
        <v>3</v>
      </c>
      <c r="U124" s="35" t="s">
        <v>3222</v>
      </c>
      <c r="V124" s="186" t="n">
        <f aca="false">IF(AND($F124="原始數據",$U124&lt;&gt;"連結 SRC"),1,0)</f>
        <v>0</v>
      </c>
      <c r="W124" s="186" t="n">
        <f aca="false">IF(AND($F124="Analogy",OR($H124="—",$H124="")),1,0)</f>
        <v>0</v>
      </c>
      <c r="X124" s="186" t="n">
        <f aca="false">IF(AND(OR($F124="Analogy",$F124="Assumed"),$G124&lt;&gt;"低",$G124&lt;&gt;"高",NOT(ISNUMBER($K124)),NOT(ISNUMBER($L124)),OR($M124="—",$M124="")),1,0)</f>
        <v>0</v>
      </c>
      <c r="Y124" s="186" t="n">
        <f aca="false">IF(AND(OR($F124="Analogy",$F124="Assumed",$F124="Derived（待改公式）",$F124="Derived（公式）"),OR($N124="—",$N124="",$N124=0)),1,0)</f>
        <v>0</v>
      </c>
      <c r="Z124" s="186" t="n">
        <f aca="false">IF(AND($F124="Decision",OR($J124="—",$J124="")),1,0)</f>
        <v>0</v>
      </c>
      <c r="AA124" s="183" t="n">
        <f aca="false">IF(OR($J124="—",$J124=""),0,IF(COUNTIF(Decisions!$A$5:$A$300,$J124)=0,1,0))</f>
        <v>0</v>
      </c>
      <c r="AB124" s="186" t="n">
        <f aca="false">IF(AND($F124="原始數據",$S124&lt;&gt;"Active"),1,0)</f>
        <v>0</v>
      </c>
      <c r="AC124" s="186" t="n">
        <f aca="false">IF(AND(ISNUMBER($K124),ISNUMBER($L124),ISNUMBER($Q124)),IF(OR($Q124&lt;MIN($K124,$L124),$Q124&gt;MAX($K124,$L124)),1,0),0)</f>
        <v>0</v>
      </c>
      <c r="AD124" s="186" t="n">
        <f aca="false">IF(AND(ISNUMBER($T124),$P124="高"),IF($T124=3,1,0),0)</f>
        <v>0</v>
      </c>
      <c r="AE124" s="186" t="n">
        <f aca="false">IF($S124="不存在",1,0)</f>
        <v>0</v>
      </c>
      <c r="AF124" s="35" t="n">
        <f aca="false">IF(OR($H124="—",$H124=""),"—",MATCH($H124,IDX_SrcID,0))</f>
        <v>60</v>
      </c>
      <c r="AG124" s="104" t="n">
        <f aca="false">IF(AND($P124="高",OR($AD124=1,$X124=1)),1,0)</f>
        <v>0</v>
      </c>
      <c r="AH124" s="104" t="n">
        <f aca="false">IF(AND($P124="高",$AG124=0,OR($F124&lt;&gt;"原始數據",$T124&lt;&gt;1)),1,0)</f>
        <v>0</v>
      </c>
      <c r="AI124" s="53" t="str">
        <f aca="false">IF(AND($P124="高",ISNUMBER($AF124)),INDEX(IDX_SrcDate,$AF124),"—")</f>
        <v>—</v>
      </c>
      <c r="AJ124" s="104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6" t="s">
        <v>3520</v>
      </c>
      <c r="B125" s="215" t="s">
        <v>3183</v>
      </c>
      <c r="C125" s="36" t="s">
        <v>3341</v>
      </c>
      <c r="D125" s="36" t="s">
        <v>3521</v>
      </c>
      <c r="E125" s="6" t="s">
        <v>201</v>
      </c>
      <c r="F125" s="215" t="s">
        <v>298</v>
      </c>
      <c r="G125" s="215" t="s">
        <v>3185</v>
      </c>
      <c r="H125" s="36" t="s">
        <v>3522</v>
      </c>
      <c r="I125" s="19" t="s">
        <v>3220</v>
      </c>
      <c r="J125" s="36" t="s">
        <v>587</v>
      </c>
      <c r="K125" s="215"/>
      <c r="L125" s="215"/>
      <c r="M125" s="36" t="s">
        <v>587</v>
      </c>
      <c r="N125" s="19" t="s">
        <v>3318</v>
      </c>
      <c r="O125" s="6" t="s">
        <v>587</v>
      </c>
      <c r="P125" s="215" t="s">
        <v>3188</v>
      </c>
      <c r="Q125" s="43" t="n">
        <f aca="false">Spec_Rack!D27</f>
        <v>0.9</v>
      </c>
      <c r="R125" s="185" t="n">
        <f aca="false">SRC_HW_048</f>
        <v>0.9</v>
      </c>
      <c r="S125" s="35" t="str">
        <f aca="false">IF(ISNUMBER($AF125),INDEX(IDX_SrcStat,$AF125),"—")</f>
        <v>Active</v>
      </c>
      <c r="T125" s="35" t="n">
        <f aca="false">IF(ISNUMBER($AF125),INDEX(IDX_SrcGrade,$AF125),"—")</f>
        <v>3</v>
      </c>
      <c r="U125" s="35" t="s">
        <v>3222</v>
      </c>
      <c r="V125" s="186" t="n">
        <f aca="false">IF(AND($F125="原始數據",$U125&lt;&gt;"連結 SRC"),1,0)</f>
        <v>0</v>
      </c>
      <c r="W125" s="186" t="n">
        <f aca="false">IF(AND($F125="Analogy",OR($H125="—",$H125="")),1,0)</f>
        <v>0</v>
      </c>
      <c r="X125" s="186" t="n">
        <f aca="false">IF(AND(OR($F125="Analogy",$F125="Assumed"),$G125&lt;&gt;"低",$G125&lt;&gt;"高",NOT(ISNUMBER($K125)),NOT(ISNUMBER($L125)),OR($M125="—",$M125="")),1,0)</f>
        <v>0</v>
      </c>
      <c r="Y125" s="186" t="n">
        <f aca="false">IF(AND(OR($F125="Analogy",$F125="Assumed",$F125="Derived（待改公式）",$F125="Derived（公式）"),OR($N125="—",$N125="",$N125=0)),1,0)</f>
        <v>0</v>
      </c>
      <c r="Z125" s="186" t="n">
        <f aca="false">IF(AND($F125="Decision",OR($J125="—",$J125="")),1,0)</f>
        <v>0</v>
      </c>
      <c r="AA125" s="183" t="n">
        <f aca="false">IF(OR($J125="—",$J125=""),0,IF(COUNTIF(Decisions!$A$5:$A$300,$J125)=0,1,0))</f>
        <v>0</v>
      </c>
      <c r="AB125" s="186" t="n">
        <f aca="false">IF(AND($F125="原始數據",$S125&lt;&gt;"Active"),1,0)</f>
        <v>0</v>
      </c>
      <c r="AC125" s="186" t="n">
        <f aca="false">IF(AND(ISNUMBER($K125),ISNUMBER($L125),ISNUMBER($Q125)),IF(OR($Q125&lt;MIN($K125,$L125),$Q125&gt;MAX($K125,$L125)),1,0),0)</f>
        <v>0</v>
      </c>
      <c r="AD125" s="186" t="n">
        <f aca="false">IF(AND(ISNUMBER($T125),$P125="高"),IF($T125=3,1,0),0)</f>
        <v>0</v>
      </c>
      <c r="AE125" s="186" t="n">
        <f aca="false">IF($S125="不存在",1,0)</f>
        <v>0</v>
      </c>
      <c r="AF125" s="35" t="n">
        <f aca="false">IF(OR($H125="—",$H125=""),"—",MATCH($H125,IDX_SrcID,0))</f>
        <v>48</v>
      </c>
      <c r="AG125" s="104" t="n">
        <f aca="false">IF(AND($P125="高",OR($AD125=1,$X125=1)),1,0)</f>
        <v>0</v>
      </c>
      <c r="AH125" s="104" t="n">
        <f aca="false">IF(AND($P125="高",$AG125=0,OR($F125&lt;&gt;"原始數據",$T125&lt;&gt;1)),1,0)</f>
        <v>0</v>
      </c>
      <c r="AI125" s="53" t="str">
        <f aca="false">IF(AND($P125="高",ISNUMBER($AF125)),INDEX(IDX_SrcDate,$AF125),"—")</f>
        <v>—</v>
      </c>
      <c r="AJ125" s="104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6" t="s">
        <v>3523</v>
      </c>
      <c r="B126" s="215" t="s">
        <v>3183</v>
      </c>
      <c r="C126" s="36" t="s">
        <v>3341</v>
      </c>
      <c r="D126" s="36" t="s">
        <v>3337</v>
      </c>
      <c r="E126" s="6" t="s">
        <v>201</v>
      </c>
      <c r="F126" s="215" t="s">
        <v>298</v>
      </c>
      <c r="G126" s="215" t="s">
        <v>3185</v>
      </c>
      <c r="H126" s="36" t="s">
        <v>3522</v>
      </c>
      <c r="I126" s="19" t="s">
        <v>3220</v>
      </c>
      <c r="J126" s="36" t="s">
        <v>587</v>
      </c>
      <c r="K126" s="215"/>
      <c r="L126" s="215"/>
      <c r="M126" s="36" t="s">
        <v>587</v>
      </c>
      <c r="N126" s="19" t="s">
        <v>3318</v>
      </c>
      <c r="O126" s="6" t="s">
        <v>587</v>
      </c>
      <c r="P126" s="215" t="s">
        <v>3188</v>
      </c>
      <c r="Q126" s="43" t="n">
        <f aca="false">Spec_Rack!E27</f>
        <v>0.9</v>
      </c>
      <c r="R126" s="185" t="n">
        <f aca="false">SRC_HW_048</f>
        <v>0.9</v>
      </c>
      <c r="S126" s="35" t="str">
        <f aca="false">IF(ISNUMBER($AF126),INDEX(IDX_SrcStat,$AF126),"—")</f>
        <v>Active</v>
      </c>
      <c r="T126" s="35" t="n">
        <f aca="false">IF(ISNUMBER($AF126),INDEX(IDX_SrcGrade,$AF126),"—")</f>
        <v>3</v>
      </c>
      <c r="U126" s="35" t="s">
        <v>3222</v>
      </c>
      <c r="V126" s="186" t="n">
        <f aca="false">IF(AND($F126="原始數據",$U126&lt;&gt;"連結 SRC"),1,0)</f>
        <v>0</v>
      </c>
      <c r="W126" s="186" t="n">
        <f aca="false">IF(AND($F126="Analogy",OR($H126="—",$H126="")),1,0)</f>
        <v>0</v>
      </c>
      <c r="X126" s="186" t="n">
        <f aca="false">IF(AND(OR($F126="Analogy",$F126="Assumed"),$G126&lt;&gt;"低",$G126&lt;&gt;"高",NOT(ISNUMBER($K126)),NOT(ISNUMBER($L126)),OR($M126="—",$M126="")),1,0)</f>
        <v>0</v>
      </c>
      <c r="Y126" s="186" t="n">
        <f aca="false">IF(AND(OR($F126="Analogy",$F126="Assumed",$F126="Derived（待改公式）",$F126="Derived（公式）"),OR($N126="—",$N126="",$N126=0)),1,0)</f>
        <v>0</v>
      </c>
      <c r="Z126" s="186" t="n">
        <f aca="false">IF(AND($F126="Decision",OR($J126="—",$J126="")),1,0)</f>
        <v>0</v>
      </c>
      <c r="AA126" s="183" t="n">
        <f aca="false">IF(OR($J126="—",$J126=""),0,IF(COUNTIF(Decisions!$A$5:$A$300,$J126)=0,1,0))</f>
        <v>0</v>
      </c>
      <c r="AB126" s="186" t="n">
        <f aca="false">IF(AND($F126="原始數據",$S126&lt;&gt;"Active"),1,0)</f>
        <v>0</v>
      </c>
      <c r="AC126" s="186" t="n">
        <f aca="false">IF(AND(ISNUMBER($K126),ISNUMBER($L126),ISNUMBER($Q126)),IF(OR($Q126&lt;MIN($K126,$L126),$Q126&gt;MAX($K126,$L126)),1,0),0)</f>
        <v>0</v>
      </c>
      <c r="AD126" s="186" t="n">
        <f aca="false">IF(AND(ISNUMBER($T126),$P126="高"),IF($T126=3,1,0),0)</f>
        <v>0</v>
      </c>
      <c r="AE126" s="186" t="n">
        <f aca="false">IF($S126="不存在",1,0)</f>
        <v>0</v>
      </c>
      <c r="AF126" s="35" t="n">
        <f aca="false">IF(OR($H126="—",$H126=""),"—",MATCH($H126,IDX_SrcID,0))</f>
        <v>48</v>
      </c>
      <c r="AG126" s="104" t="n">
        <f aca="false">IF(AND($P126="高",OR($AD126=1,$X126=1)),1,0)</f>
        <v>0</v>
      </c>
      <c r="AH126" s="104" t="n">
        <f aca="false">IF(AND($P126="高",$AG126=0,OR($F126&lt;&gt;"原始數據",$T126&lt;&gt;1)),1,0)</f>
        <v>0</v>
      </c>
      <c r="AI126" s="53" t="str">
        <f aca="false">IF(AND($P126="高",ISNUMBER($AF126)),INDEX(IDX_SrcDate,$AF126),"—")</f>
        <v>—</v>
      </c>
      <c r="AJ126" s="104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6" t="s">
        <v>3524</v>
      </c>
      <c r="B127" s="215" t="s">
        <v>3183</v>
      </c>
      <c r="C127" s="36" t="s">
        <v>3341</v>
      </c>
      <c r="D127" s="36" t="s">
        <v>3525</v>
      </c>
      <c r="E127" s="6" t="s">
        <v>201</v>
      </c>
      <c r="F127" s="215" t="s">
        <v>298</v>
      </c>
      <c r="G127" s="215" t="s">
        <v>3185</v>
      </c>
      <c r="H127" s="36" t="s">
        <v>3526</v>
      </c>
      <c r="I127" s="19" t="s">
        <v>3220</v>
      </c>
      <c r="J127" s="36" t="s">
        <v>587</v>
      </c>
      <c r="K127" s="215"/>
      <c r="L127" s="215"/>
      <c r="M127" s="36" t="s">
        <v>587</v>
      </c>
      <c r="N127" s="19" t="s">
        <v>3318</v>
      </c>
      <c r="O127" s="6" t="s">
        <v>587</v>
      </c>
      <c r="P127" s="215" t="s">
        <v>3188</v>
      </c>
      <c r="Q127" s="43" t="n">
        <f aca="false">Spec_Rack!F27</f>
        <v>1.8</v>
      </c>
      <c r="R127" s="185" t="n">
        <f aca="false">SRC_HW_049</f>
        <v>1.8</v>
      </c>
      <c r="S127" s="35" t="str">
        <f aca="false">IF(ISNUMBER($AF127),INDEX(IDX_SrcStat,$AF127),"—")</f>
        <v>Active</v>
      </c>
      <c r="T127" s="35" t="n">
        <f aca="false">IF(ISNUMBER($AF127),INDEX(IDX_SrcGrade,$AF127),"—")</f>
        <v>3</v>
      </c>
      <c r="U127" s="35" t="s">
        <v>3222</v>
      </c>
      <c r="V127" s="186" t="n">
        <f aca="false">IF(AND($F127="原始數據",$U127&lt;&gt;"連結 SRC"),1,0)</f>
        <v>0</v>
      </c>
      <c r="W127" s="186" t="n">
        <f aca="false">IF(AND($F127="Analogy",OR($H127="—",$H127="")),1,0)</f>
        <v>0</v>
      </c>
      <c r="X127" s="186" t="n">
        <f aca="false">IF(AND(OR($F127="Analogy",$F127="Assumed"),$G127&lt;&gt;"低",$G127&lt;&gt;"高",NOT(ISNUMBER($K127)),NOT(ISNUMBER($L127)),OR($M127="—",$M127="")),1,0)</f>
        <v>0</v>
      </c>
      <c r="Y127" s="186" t="n">
        <f aca="false">IF(AND(OR($F127="Analogy",$F127="Assumed",$F127="Derived（待改公式）",$F127="Derived（公式）"),OR($N127="—",$N127="",$N127=0)),1,0)</f>
        <v>0</v>
      </c>
      <c r="Z127" s="186" t="n">
        <f aca="false">IF(AND($F127="Decision",OR($J127="—",$J127="")),1,0)</f>
        <v>0</v>
      </c>
      <c r="AA127" s="183" t="n">
        <f aca="false">IF(OR($J127="—",$J127=""),0,IF(COUNTIF(Decisions!$A$5:$A$300,$J127)=0,1,0))</f>
        <v>0</v>
      </c>
      <c r="AB127" s="186" t="n">
        <f aca="false">IF(AND($F127="原始數據",$S127&lt;&gt;"Active"),1,0)</f>
        <v>0</v>
      </c>
      <c r="AC127" s="186" t="n">
        <f aca="false">IF(AND(ISNUMBER($K127),ISNUMBER($L127),ISNUMBER($Q127)),IF(OR($Q127&lt;MIN($K127,$L127),$Q127&gt;MAX($K127,$L127)),1,0),0)</f>
        <v>0</v>
      </c>
      <c r="AD127" s="186" t="n">
        <f aca="false">IF(AND(ISNUMBER($T127),$P127="高"),IF($T127=3,1,0),0)</f>
        <v>0</v>
      </c>
      <c r="AE127" s="186" t="n">
        <f aca="false">IF($S127="不存在",1,0)</f>
        <v>0</v>
      </c>
      <c r="AF127" s="35" t="n">
        <f aca="false">IF(OR($H127="—",$H127=""),"—",MATCH($H127,IDX_SrcID,0))</f>
        <v>49</v>
      </c>
      <c r="AG127" s="104" t="n">
        <f aca="false">IF(AND($P127="高",OR($AD127=1,$X127=1)),1,0)</f>
        <v>0</v>
      </c>
      <c r="AH127" s="104" t="n">
        <f aca="false">IF(AND($P127="高",$AG127=0,OR($F127&lt;&gt;"原始數據",$T127&lt;&gt;1)),1,0)</f>
        <v>0</v>
      </c>
      <c r="AI127" s="53" t="str">
        <f aca="false">IF(AND($P127="高",ISNUMBER($AF127)),INDEX(IDX_SrcDate,$AF127),"—")</f>
        <v>—</v>
      </c>
      <c r="AJ127" s="104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6" t="s">
        <v>3527</v>
      </c>
      <c r="B128" s="215" t="s">
        <v>3183</v>
      </c>
      <c r="C128" s="36" t="s">
        <v>3341</v>
      </c>
      <c r="D128" s="36" t="s">
        <v>3528</v>
      </c>
      <c r="E128" s="6" t="s">
        <v>201</v>
      </c>
      <c r="F128" s="36" t="s">
        <v>80</v>
      </c>
      <c r="G128" s="215" t="s">
        <v>3185</v>
      </c>
      <c r="H128" s="36" t="s">
        <v>587</v>
      </c>
      <c r="I128" s="6" t="s">
        <v>587</v>
      </c>
      <c r="J128" s="36" t="s">
        <v>587</v>
      </c>
      <c r="K128" s="217" t="n">
        <v>1.8</v>
      </c>
      <c r="L128" s="217" t="n">
        <v>3.6</v>
      </c>
      <c r="M128" s="36" t="s">
        <v>3529</v>
      </c>
      <c r="N128" s="6" t="s">
        <v>3530</v>
      </c>
      <c r="O128" s="6" t="s">
        <v>587</v>
      </c>
      <c r="P128" s="215" t="s">
        <v>3188</v>
      </c>
      <c r="Q128" s="43" t="n">
        <f aca="false">Spec_Rack!G27</f>
        <v>1.8</v>
      </c>
      <c r="R128" s="36" t="s">
        <v>587</v>
      </c>
      <c r="S128" s="35" t="str">
        <f aca="false">IF(ISNUMBER($AF128),INDEX(IDX_SrcStat,$AF128),"—")</f>
        <v>—</v>
      </c>
      <c r="T128" s="35" t="str">
        <f aca="false">IF(ISNUMBER($AF128),INDEX(IDX_SrcGrade,$AF128),"—")</f>
        <v>—</v>
      </c>
      <c r="U128" s="35" t="s">
        <v>3189</v>
      </c>
      <c r="V128" s="186" t="n">
        <f aca="false">IF(AND($F128="原始數據",$U128&lt;&gt;"連結 SRC"),1,0)</f>
        <v>0</v>
      </c>
      <c r="W128" s="186" t="n">
        <f aca="false">IF(AND($F128="Analogy",OR($H128="—",$H128="")),1,0)</f>
        <v>0</v>
      </c>
      <c r="X128" s="186" t="n">
        <f aca="false">IF(AND(OR($F128="Analogy",$F128="Assumed"),$G128&lt;&gt;"低",$G128&lt;&gt;"高",NOT(ISNUMBER($K128)),NOT(ISNUMBER($L128)),OR($M128="—",$M128="")),1,0)</f>
        <v>0</v>
      </c>
      <c r="Y128" s="186" t="n">
        <f aca="false">IF(AND(OR($F128="Analogy",$F128="Assumed",$F128="Derived（待改公式）",$F128="Derived（公式）"),OR($N128="—",$N128="",$N128=0)),1,0)</f>
        <v>0</v>
      </c>
      <c r="Z128" s="186" t="n">
        <f aca="false">IF(AND($F128="Decision",OR($J128="—",$J128="")),1,0)</f>
        <v>0</v>
      </c>
      <c r="AA128" s="183" t="n">
        <f aca="false">IF(OR($J128="—",$J128=""),0,IF(COUNTIF(Decisions!$A$5:$A$300,$J128)=0,1,0))</f>
        <v>0</v>
      </c>
      <c r="AB128" s="186" t="n">
        <f aca="false">IF(AND($F128="原始數據",$S128&lt;&gt;"Active"),1,0)</f>
        <v>0</v>
      </c>
      <c r="AC128" s="186" t="n">
        <f aca="false">IF(AND(ISNUMBER($K128),ISNUMBER($L128),ISNUMBER($Q128)),IF(OR($Q128&lt;MIN($K128,$L128),$Q128&gt;MAX($K128,$L128)),1,0),0)</f>
        <v>0</v>
      </c>
      <c r="AD128" s="186" t="n">
        <f aca="false">IF(AND(ISNUMBER($T128),$P128="高"),IF($T128=3,1,0),0)</f>
        <v>0</v>
      </c>
      <c r="AE128" s="186" t="n">
        <f aca="false">IF($S128="不存在",1,0)</f>
        <v>0</v>
      </c>
      <c r="AF128" s="35" t="str">
        <f aca="false">IF(OR($H128="—",$H128=""),"—",MATCH($H128,IDX_SrcID,0))</f>
        <v>—</v>
      </c>
      <c r="AG128" s="104" t="n">
        <f aca="false">IF(AND($P128="高",OR($AD128=1,$X128=1)),1,0)</f>
        <v>0</v>
      </c>
      <c r="AH128" s="104" t="n">
        <f aca="false">IF(AND($P128="高",$AG128=0,OR($F128&lt;&gt;"原始數據",$T128&lt;&gt;1)),1,0)</f>
        <v>0</v>
      </c>
      <c r="AI128" s="53" t="str">
        <f aca="false">IF(AND($P128="高",ISNUMBER($AF128)),INDEX(IDX_SrcDate,$AF128),"—")</f>
        <v>—</v>
      </c>
      <c r="AJ128" s="104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6" t="s">
        <v>3531</v>
      </c>
      <c r="B129" s="215" t="s">
        <v>3183</v>
      </c>
      <c r="C129" s="36" t="s">
        <v>3341</v>
      </c>
      <c r="D129" s="36" t="s">
        <v>3532</v>
      </c>
      <c r="E129" s="6" t="s">
        <v>203</v>
      </c>
      <c r="F129" s="215" t="s">
        <v>298</v>
      </c>
      <c r="G129" s="215" t="s">
        <v>3185</v>
      </c>
      <c r="H129" s="36" t="s">
        <v>3533</v>
      </c>
      <c r="I129" s="19" t="s">
        <v>3220</v>
      </c>
      <c r="J129" s="36" t="s">
        <v>587</v>
      </c>
      <c r="K129" s="215"/>
      <c r="L129" s="215"/>
      <c r="M129" s="36" t="s">
        <v>587</v>
      </c>
      <c r="N129" s="19" t="s">
        <v>3318</v>
      </c>
      <c r="O129" s="6" t="s">
        <v>587</v>
      </c>
      <c r="P129" s="215" t="s">
        <v>1116</v>
      </c>
      <c r="Q129" s="41" t="n">
        <f aca="false">Spec_Rack!C28</f>
        <v>8</v>
      </c>
      <c r="R129" s="185" t="n">
        <f aca="false">SRC_HW_053</f>
        <v>8</v>
      </c>
      <c r="S129" s="35" t="str">
        <f aca="false">IF(ISNUMBER($AF129),INDEX(IDX_SrcStat,$AF129),"—")</f>
        <v>Active</v>
      </c>
      <c r="T129" s="35" t="n">
        <f aca="false">IF(ISNUMBER($AF129),INDEX(IDX_SrcGrade,$AF129),"—")</f>
        <v>1</v>
      </c>
      <c r="U129" s="35" t="s">
        <v>3222</v>
      </c>
      <c r="V129" s="186" t="n">
        <f aca="false">IF(AND($F129="原始數據",$U129&lt;&gt;"連結 SRC"),1,0)</f>
        <v>0</v>
      </c>
      <c r="W129" s="186" t="n">
        <f aca="false">IF(AND($F129="Analogy",OR($H129="—",$H129="")),1,0)</f>
        <v>0</v>
      </c>
      <c r="X129" s="186" t="n">
        <f aca="false">IF(AND(OR($F129="Analogy",$F129="Assumed"),$G129&lt;&gt;"低",$G129&lt;&gt;"高",NOT(ISNUMBER($K129)),NOT(ISNUMBER($L129)),OR($M129="—",$M129="")),1,0)</f>
        <v>0</v>
      </c>
      <c r="Y129" s="186" t="n">
        <f aca="false">IF(AND(OR($F129="Analogy",$F129="Assumed",$F129="Derived（待改公式）",$F129="Derived（公式）"),OR($N129="—",$N129="",$N129=0)),1,0)</f>
        <v>0</v>
      </c>
      <c r="Z129" s="186" t="n">
        <f aca="false">IF(AND($F129="Decision",OR($J129="—",$J129="")),1,0)</f>
        <v>0</v>
      </c>
      <c r="AA129" s="183" t="n">
        <f aca="false">IF(OR($J129="—",$J129=""),0,IF(COUNTIF(Decisions!$A$5:$A$300,$J129)=0,1,0))</f>
        <v>0</v>
      </c>
      <c r="AB129" s="186" t="n">
        <f aca="false">IF(AND($F129="原始數據",$S129&lt;&gt;"Active"),1,0)</f>
        <v>0</v>
      </c>
      <c r="AC129" s="186" t="n">
        <f aca="false">IF(AND(ISNUMBER($K129),ISNUMBER($L129),ISNUMBER($Q129)),IF(OR($Q129&lt;MIN($K129,$L129),$Q129&gt;MAX($K129,$L129)),1,0),0)</f>
        <v>0</v>
      </c>
      <c r="AD129" s="186" t="n">
        <f aca="false">IF(AND(ISNUMBER($T129),$P129="高"),IF($T129=3,1,0),0)</f>
        <v>0</v>
      </c>
      <c r="AE129" s="186" t="n">
        <f aca="false">IF($S129="不存在",1,0)</f>
        <v>0</v>
      </c>
      <c r="AF129" s="35" t="n">
        <f aca="false">IF(OR($H129="—",$H129=""),"—",MATCH($H129,IDX_SrcID,0))</f>
        <v>53</v>
      </c>
      <c r="AG129" s="104" t="n">
        <f aca="false">IF(AND($P129="高",OR($AD129=1,$X129=1)),1,0)</f>
        <v>0</v>
      </c>
      <c r="AH129" s="104" t="n">
        <f aca="false">IF(AND($P129="高",$AG129=0,OR($F129&lt;&gt;"原始數據",$T129&lt;&gt;1)),1,0)</f>
        <v>0</v>
      </c>
      <c r="AI129" s="53" t="str">
        <f aca="false">IF(AND($P129="高",ISNUMBER($AF129)),INDEX(IDX_SrcDate,$AF129),"—")</f>
        <v>2026-10-05</v>
      </c>
      <c r="AJ129" s="104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6" t="s">
        <v>3534</v>
      </c>
      <c r="B130" s="215" t="s">
        <v>3183</v>
      </c>
      <c r="C130" s="36" t="s">
        <v>3341</v>
      </c>
      <c r="D130" s="36" t="s">
        <v>3272</v>
      </c>
      <c r="E130" s="6" t="s">
        <v>203</v>
      </c>
      <c r="F130" s="215" t="s">
        <v>298</v>
      </c>
      <c r="G130" s="215" t="s">
        <v>3185</v>
      </c>
      <c r="H130" s="36" t="s">
        <v>3347</v>
      </c>
      <c r="I130" s="19" t="s">
        <v>3220</v>
      </c>
      <c r="J130" s="36" t="s">
        <v>587</v>
      </c>
      <c r="K130" s="215"/>
      <c r="L130" s="215"/>
      <c r="M130" s="36" t="s">
        <v>587</v>
      </c>
      <c r="N130" s="19" t="s">
        <v>3318</v>
      </c>
      <c r="O130" s="6" t="s">
        <v>587</v>
      </c>
      <c r="P130" s="215" t="s">
        <v>1116</v>
      </c>
      <c r="Q130" s="41" t="n">
        <f aca="false">Spec_Rack!D28</f>
        <v>72</v>
      </c>
      <c r="R130" s="185" t="n">
        <f aca="false">SRC_HW_047</f>
        <v>72</v>
      </c>
      <c r="S130" s="35" t="str">
        <f aca="false">IF(ISNUMBER($AF130),INDEX(IDX_SrcStat,$AF130),"—")</f>
        <v>Active</v>
      </c>
      <c r="T130" s="35" t="n">
        <f aca="false">IF(ISNUMBER($AF130),INDEX(IDX_SrcGrade,$AF130),"—")</f>
        <v>1</v>
      </c>
      <c r="U130" s="35" t="s">
        <v>3222</v>
      </c>
      <c r="V130" s="186" t="n">
        <f aca="false">IF(AND($F130="原始數據",$U130&lt;&gt;"連結 SRC"),1,0)</f>
        <v>0</v>
      </c>
      <c r="W130" s="186" t="n">
        <f aca="false">IF(AND($F130="Analogy",OR($H130="—",$H130="")),1,0)</f>
        <v>0</v>
      </c>
      <c r="X130" s="186" t="n">
        <f aca="false">IF(AND(OR($F130="Analogy",$F130="Assumed"),$G130&lt;&gt;"低",$G130&lt;&gt;"高",NOT(ISNUMBER($K130)),NOT(ISNUMBER($L130)),OR($M130="—",$M130="")),1,0)</f>
        <v>0</v>
      </c>
      <c r="Y130" s="186" t="n">
        <f aca="false">IF(AND(OR($F130="Analogy",$F130="Assumed",$F130="Derived（待改公式）",$F130="Derived（公式）"),OR($N130="—",$N130="",$N130=0)),1,0)</f>
        <v>0</v>
      </c>
      <c r="Z130" s="186" t="n">
        <f aca="false">IF(AND($F130="Decision",OR($J130="—",$J130="")),1,0)</f>
        <v>0</v>
      </c>
      <c r="AA130" s="183" t="n">
        <f aca="false">IF(OR($J130="—",$J130=""),0,IF(COUNTIF(Decisions!$A$5:$A$300,$J130)=0,1,0))</f>
        <v>0</v>
      </c>
      <c r="AB130" s="186" t="n">
        <f aca="false">IF(AND($F130="原始數據",$S130&lt;&gt;"Active"),1,0)</f>
        <v>0</v>
      </c>
      <c r="AC130" s="186" t="n">
        <f aca="false">IF(AND(ISNUMBER($K130),ISNUMBER($L130),ISNUMBER($Q130)),IF(OR($Q130&lt;MIN($K130,$L130),$Q130&gt;MAX($K130,$L130)),1,0),0)</f>
        <v>0</v>
      </c>
      <c r="AD130" s="186" t="n">
        <f aca="false">IF(AND(ISNUMBER($T130),$P130="高"),IF($T130=3,1,0),0)</f>
        <v>0</v>
      </c>
      <c r="AE130" s="186" t="n">
        <f aca="false">IF($S130="不存在",1,0)</f>
        <v>0</v>
      </c>
      <c r="AF130" s="35" t="n">
        <f aca="false">IF(OR($H130="—",$H130=""),"—",MATCH($H130,IDX_SrcID,0))</f>
        <v>47</v>
      </c>
      <c r="AG130" s="104" t="n">
        <f aca="false">IF(AND($P130="高",OR($AD130=1,$X130=1)),1,0)</f>
        <v>0</v>
      </c>
      <c r="AH130" s="104" t="n">
        <f aca="false">IF(AND($P130="高",$AG130=0,OR($F130&lt;&gt;"原始數據",$T130&lt;&gt;1)),1,0)</f>
        <v>0</v>
      </c>
      <c r="AI130" s="53" t="str">
        <f aca="false">IF(AND($P130="高",ISNUMBER($AF130)),INDEX(IDX_SrcDate,$AF130),"—")</f>
        <v>2026-10-05</v>
      </c>
      <c r="AJ130" s="104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6" t="s">
        <v>3535</v>
      </c>
      <c r="B131" s="215" t="s">
        <v>3183</v>
      </c>
      <c r="C131" s="36" t="s">
        <v>3341</v>
      </c>
      <c r="D131" s="36" t="s">
        <v>3270</v>
      </c>
      <c r="E131" s="6" t="s">
        <v>203</v>
      </c>
      <c r="F131" s="215" t="s">
        <v>298</v>
      </c>
      <c r="G131" s="215" t="s">
        <v>3185</v>
      </c>
      <c r="H131" s="36" t="s">
        <v>3347</v>
      </c>
      <c r="I131" s="19" t="s">
        <v>3220</v>
      </c>
      <c r="J131" s="36" t="s">
        <v>587</v>
      </c>
      <c r="K131" s="215"/>
      <c r="L131" s="215"/>
      <c r="M131" s="36" t="s">
        <v>587</v>
      </c>
      <c r="N131" s="19" t="s">
        <v>3318</v>
      </c>
      <c r="O131" s="6" t="s">
        <v>587</v>
      </c>
      <c r="P131" s="215" t="s">
        <v>1116</v>
      </c>
      <c r="Q131" s="41" t="n">
        <f aca="false">Spec_Rack!E28</f>
        <v>72</v>
      </c>
      <c r="R131" s="185" t="n">
        <f aca="false">SRC_HW_047</f>
        <v>72</v>
      </c>
      <c r="S131" s="35" t="str">
        <f aca="false">IF(ISNUMBER($AF131),INDEX(IDX_SrcStat,$AF131),"—")</f>
        <v>Active</v>
      </c>
      <c r="T131" s="35" t="n">
        <f aca="false">IF(ISNUMBER($AF131),INDEX(IDX_SrcGrade,$AF131),"—")</f>
        <v>1</v>
      </c>
      <c r="U131" s="35" t="s">
        <v>3222</v>
      </c>
      <c r="V131" s="186" t="n">
        <f aca="false">IF(AND($F131="原始數據",$U131&lt;&gt;"連結 SRC"),1,0)</f>
        <v>0</v>
      </c>
      <c r="W131" s="186" t="n">
        <f aca="false">IF(AND($F131="Analogy",OR($H131="—",$H131="")),1,0)</f>
        <v>0</v>
      </c>
      <c r="X131" s="186" t="n">
        <f aca="false">IF(AND(OR($F131="Analogy",$F131="Assumed"),$G131&lt;&gt;"低",$G131&lt;&gt;"高",NOT(ISNUMBER($K131)),NOT(ISNUMBER($L131)),OR($M131="—",$M131="")),1,0)</f>
        <v>0</v>
      </c>
      <c r="Y131" s="186" t="n">
        <f aca="false">IF(AND(OR($F131="Analogy",$F131="Assumed",$F131="Derived（待改公式）",$F131="Derived（公式）"),OR($N131="—",$N131="",$N131=0)),1,0)</f>
        <v>0</v>
      </c>
      <c r="Z131" s="186" t="n">
        <f aca="false">IF(AND($F131="Decision",OR($J131="—",$J131="")),1,0)</f>
        <v>0</v>
      </c>
      <c r="AA131" s="183" t="n">
        <f aca="false">IF(OR($J131="—",$J131=""),0,IF(COUNTIF(Decisions!$A$5:$A$300,$J131)=0,1,0))</f>
        <v>0</v>
      </c>
      <c r="AB131" s="186" t="n">
        <f aca="false">IF(AND($F131="原始數據",$S131&lt;&gt;"Active"),1,0)</f>
        <v>0</v>
      </c>
      <c r="AC131" s="186" t="n">
        <f aca="false">IF(AND(ISNUMBER($K131),ISNUMBER($L131),ISNUMBER($Q131)),IF(OR($Q131&lt;MIN($K131,$L131),$Q131&gt;MAX($K131,$L131)),1,0),0)</f>
        <v>0</v>
      </c>
      <c r="AD131" s="186" t="n">
        <f aca="false">IF(AND(ISNUMBER($T131),$P131="高"),IF($T131=3,1,0),0)</f>
        <v>0</v>
      </c>
      <c r="AE131" s="186" t="n">
        <f aca="false">IF($S131="不存在",1,0)</f>
        <v>0</v>
      </c>
      <c r="AF131" s="35" t="n">
        <f aca="false">IF(OR($H131="—",$H131=""),"—",MATCH($H131,IDX_SrcID,0))</f>
        <v>47</v>
      </c>
      <c r="AG131" s="104" t="n">
        <f aca="false">IF(AND($P131="高",OR($AD131=1,$X131=1)),1,0)</f>
        <v>0</v>
      </c>
      <c r="AH131" s="104" t="n">
        <f aca="false">IF(AND($P131="高",$AG131=0,OR($F131&lt;&gt;"原始數據",$T131&lt;&gt;1)),1,0)</f>
        <v>0</v>
      </c>
      <c r="AI131" s="53" t="str">
        <f aca="false">IF(AND($P131="高",ISNUMBER($AF131)),INDEX(IDX_SrcDate,$AF131),"—")</f>
        <v>2026-10-05</v>
      </c>
      <c r="AJ131" s="104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6" t="s">
        <v>3536</v>
      </c>
      <c r="B132" s="215" t="s">
        <v>3183</v>
      </c>
      <c r="C132" s="36" t="s">
        <v>3341</v>
      </c>
      <c r="D132" s="36" t="s">
        <v>3274</v>
      </c>
      <c r="E132" s="6" t="s">
        <v>203</v>
      </c>
      <c r="F132" s="215" t="s">
        <v>298</v>
      </c>
      <c r="G132" s="215" t="s">
        <v>3185</v>
      </c>
      <c r="H132" s="36" t="s">
        <v>3347</v>
      </c>
      <c r="I132" s="19" t="s">
        <v>3220</v>
      </c>
      <c r="J132" s="36" t="s">
        <v>587</v>
      </c>
      <c r="K132" s="215"/>
      <c r="L132" s="215"/>
      <c r="M132" s="36" t="s">
        <v>587</v>
      </c>
      <c r="N132" s="19" t="s">
        <v>3318</v>
      </c>
      <c r="O132" s="6" t="s">
        <v>587</v>
      </c>
      <c r="P132" s="215" t="s">
        <v>1116</v>
      </c>
      <c r="Q132" s="41" t="n">
        <f aca="false">Spec_Rack!F28</f>
        <v>72</v>
      </c>
      <c r="R132" s="185" t="n">
        <f aca="false">SRC_HW_047</f>
        <v>72</v>
      </c>
      <c r="S132" s="35" t="str">
        <f aca="false">IF(ISNUMBER($AF132),INDEX(IDX_SrcStat,$AF132),"—")</f>
        <v>Active</v>
      </c>
      <c r="T132" s="35" t="n">
        <f aca="false">IF(ISNUMBER($AF132),INDEX(IDX_SrcGrade,$AF132),"—")</f>
        <v>1</v>
      </c>
      <c r="U132" s="35" t="s">
        <v>3222</v>
      </c>
      <c r="V132" s="186" t="n">
        <f aca="false">IF(AND($F132="原始數據",$U132&lt;&gt;"連結 SRC"),1,0)</f>
        <v>0</v>
      </c>
      <c r="W132" s="186" t="n">
        <f aca="false">IF(AND($F132="Analogy",OR($H132="—",$H132="")),1,0)</f>
        <v>0</v>
      </c>
      <c r="X132" s="186" t="n">
        <f aca="false">IF(AND(OR($F132="Analogy",$F132="Assumed"),$G132&lt;&gt;"低",$G132&lt;&gt;"高",NOT(ISNUMBER($K132)),NOT(ISNUMBER($L132)),OR($M132="—",$M132="")),1,0)</f>
        <v>0</v>
      </c>
      <c r="Y132" s="186" t="n">
        <f aca="false">IF(AND(OR($F132="Analogy",$F132="Assumed",$F132="Derived（待改公式）",$F132="Derived（公式）"),OR($N132="—",$N132="",$N132=0)),1,0)</f>
        <v>0</v>
      </c>
      <c r="Z132" s="186" t="n">
        <f aca="false">IF(AND($F132="Decision",OR($J132="—",$J132="")),1,0)</f>
        <v>0</v>
      </c>
      <c r="AA132" s="183" t="n">
        <f aca="false">IF(OR($J132="—",$J132=""),0,IF(COUNTIF(Decisions!$A$5:$A$300,$J132)=0,1,0))</f>
        <v>0</v>
      </c>
      <c r="AB132" s="186" t="n">
        <f aca="false">IF(AND($F132="原始數據",$S132&lt;&gt;"Active"),1,0)</f>
        <v>0</v>
      </c>
      <c r="AC132" s="186" t="n">
        <f aca="false">IF(AND(ISNUMBER($K132),ISNUMBER($L132),ISNUMBER($Q132)),IF(OR($Q132&lt;MIN($K132,$L132),$Q132&gt;MAX($K132,$L132)),1,0),0)</f>
        <v>0</v>
      </c>
      <c r="AD132" s="186" t="n">
        <f aca="false">IF(AND(ISNUMBER($T132),$P132="高"),IF($T132=3,1,0),0)</f>
        <v>0</v>
      </c>
      <c r="AE132" s="186" t="n">
        <f aca="false">IF($S132="不存在",1,0)</f>
        <v>0</v>
      </c>
      <c r="AF132" s="35" t="n">
        <f aca="false">IF(OR($H132="—",$H132=""),"—",MATCH($H132,IDX_SrcID,0))</f>
        <v>47</v>
      </c>
      <c r="AG132" s="104" t="n">
        <f aca="false">IF(AND($P132="高",OR($AD132=1,$X132=1)),1,0)</f>
        <v>0</v>
      </c>
      <c r="AH132" s="104" t="n">
        <f aca="false">IF(AND($P132="高",$AG132=0,OR($F132&lt;&gt;"原始數據",$T132&lt;&gt;1)),1,0)</f>
        <v>0</v>
      </c>
      <c r="AI132" s="53" t="str">
        <f aca="false">IF(AND($P132="高",ISNUMBER($AF132)),INDEX(IDX_SrcDate,$AF132),"—")</f>
        <v>2026-10-05</v>
      </c>
      <c r="AJ132" s="104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6" t="s">
        <v>3537</v>
      </c>
      <c r="B133" s="215" t="s">
        <v>3183</v>
      </c>
      <c r="C133" s="36" t="s">
        <v>3341</v>
      </c>
      <c r="D133" s="36" t="s">
        <v>3538</v>
      </c>
      <c r="E133" s="6" t="s">
        <v>203</v>
      </c>
      <c r="F133" s="215" t="s">
        <v>298</v>
      </c>
      <c r="G133" s="215" t="s">
        <v>3185</v>
      </c>
      <c r="H133" s="36" t="s">
        <v>3539</v>
      </c>
      <c r="I133" s="19" t="s">
        <v>3220</v>
      </c>
      <c r="J133" s="36" t="s">
        <v>587</v>
      </c>
      <c r="K133" s="215" t="n">
        <v>72</v>
      </c>
      <c r="L133" s="215" t="n">
        <v>576</v>
      </c>
      <c r="M133" s="215" t="s">
        <v>3540</v>
      </c>
      <c r="N133" s="19" t="s">
        <v>3318</v>
      </c>
      <c r="O133" s="6" t="s">
        <v>587</v>
      </c>
      <c r="P133" s="215" t="s">
        <v>1116</v>
      </c>
      <c r="Q133" s="41" t="n">
        <f aca="false">Spec_Rack!G28</f>
        <v>576</v>
      </c>
      <c r="R133" s="185" t="n">
        <f aca="false">SRC_HW_062</f>
        <v>576</v>
      </c>
      <c r="S133" s="35" t="str">
        <f aca="false">IF(ISNUMBER($AF133),INDEX(IDX_SrcStat,$AF133),"—")</f>
        <v>Active</v>
      </c>
      <c r="T133" s="35" t="n">
        <f aca="false">IF(ISNUMBER($AF133),INDEX(IDX_SrcGrade,$AF133),"—")</f>
        <v>1</v>
      </c>
      <c r="U133" s="35" t="s">
        <v>3222</v>
      </c>
      <c r="V133" s="186" t="n">
        <f aca="false">IF(AND($F133="原始數據",$U133&lt;&gt;"連結 SRC"),1,0)</f>
        <v>0</v>
      </c>
      <c r="W133" s="186" t="n">
        <f aca="false">IF(AND($F133="Analogy",OR($H133="—",$H133="")),1,0)</f>
        <v>0</v>
      </c>
      <c r="X133" s="186" t="n">
        <f aca="false">IF(AND(OR($F133="Analogy",$F133="Assumed"),$G133&lt;&gt;"低",$G133&lt;&gt;"高",NOT(ISNUMBER($K133)),NOT(ISNUMBER($L133)),OR($M133="—",$M133="")),1,0)</f>
        <v>0</v>
      </c>
      <c r="Y133" s="186" t="n">
        <f aca="false">IF(AND(OR($F133="Analogy",$F133="Assumed",$F133="Derived（待改公式）",$F133="Derived（公式）"),OR($N133="—",$N133="",$N133=0)),1,0)</f>
        <v>0</v>
      </c>
      <c r="Z133" s="186" t="n">
        <f aca="false">IF(AND($F133="Decision",OR($J133="—",$J133="")),1,0)</f>
        <v>0</v>
      </c>
      <c r="AA133" s="183" t="n">
        <f aca="false">IF(OR($J133="—",$J133=""),0,IF(COUNTIF(Decisions!$A$5:$A$300,$J133)=0,1,0))</f>
        <v>0</v>
      </c>
      <c r="AB133" s="186" t="n">
        <f aca="false">IF(AND($F133="原始數據",$S133&lt;&gt;"Active"),1,0)</f>
        <v>0</v>
      </c>
      <c r="AC133" s="186" t="n">
        <f aca="false">IF(AND(ISNUMBER($K133),ISNUMBER($L133),ISNUMBER($Q133)),IF(OR($Q133&lt;MIN($K133,$L133),$Q133&gt;MAX($K133,$L133)),1,0),0)</f>
        <v>0</v>
      </c>
      <c r="AD133" s="186" t="n">
        <f aca="false">IF(AND(ISNUMBER($T133),$P133="高"),IF($T133=3,1,0),0)</f>
        <v>0</v>
      </c>
      <c r="AE133" s="186" t="n">
        <f aca="false">IF($S133="不存在",1,0)</f>
        <v>0</v>
      </c>
      <c r="AF133" s="35" t="n">
        <f aca="false">IF(OR($H133="—",$H133=""),"—",MATCH($H133,IDX_SrcID,0))</f>
        <v>62</v>
      </c>
      <c r="AG133" s="104" t="n">
        <f aca="false">IF(AND($P133="高",OR($AD133=1,$X133=1)),1,0)</f>
        <v>0</v>
      </c>
      <c r="AH133" s="104" t="n">
        <f aca="false">IF(AND($P133="高",$AG133=0,OR($F133&lt;&gt;"原始數據",$T133&lt;&gt;1)),1,0)</f>
        <v>0</v>
      </c>
      <c r="AI133" s="53" t="str">
        <f aca="false">IF(AND($P133="高",ISNUMBER($AF133)),INDEX(IDX_SrcDate,$AF133),"—")</f>
        <v>—</v>
      </c>
      <c r="AJ133" s="104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6" t="s">
        <v>3541</v>
      </c>
      <c r="B134" s="215" t="s">
        <v>3183</v>
      </c>
      <c r="C134" s="36" t="s">
        <v>3341</v>
      </c>
      <c r="D134" s="36" t="s">
        <v>3542</v>
      </c>
      <c r="E134" s="6" t="s">
        <v>204</v>
      </c>
      <c r="F134" s="36" t="s">
        <v>84</v>
      </c>
      <c r="G134" s="215" t="s">
        <v>3185</v>
      </c>
      <c r="H134" s="36" t="s">
        <v>3543</v>
      </c>
      <c r="I134" s="19" t="s">
        <v>3544</v>
      </c>
      <c r="J134" s="36" t="s">
        <v>587</v>
      </c>
      <c r="K134" s="217" t="n">
        <v>32</v>
      </c>
      <c r="L134" s="217" t="n">
        <v>144</v>
      </c>
      <c r="M134" s="36" t="s">
        <v>3545</v>
      </c>
      <c r="N134" s="6" t="s">
        <v>3546</v>
      </c>
      <c r="O134" s="6" t="s">
        <v>587</v>
      </c>
      <c r="P134" s="215" t="s">
        <v>3244</v>
      </c>
      <c r="Q134" s="41" t="n">
        <f aca="false">Spec_Rack!C29</f>
        <v>64</v>
      </c>
      <c r="R134" s="185" t="n">
        <f aca="false">SRC_PERF_051</f>
        <v>18</v>
      </c>
      <c r="S134" s="35" t="str">
        <f aca="false">IF(ISNUMBER($AF134),INDEX(IDX_SrcStat,$AF134),"—")</f>
        <v>Active</v>
      </c>
      <c r="T134" s="35" t="n">
        <f aca="false">IF(ISNUMBER($AF134),INDEX(IDX_SrcGrade,$AF134),"—")</f>
        <v>1</v>
      </c>
      <c r="U134" s="35" t="s">
        <v>3189</v>
      </c>
      <c r="V134" s="186" t="n">
        <f aca="false">IF(AND($F134="原始數據",$U134&lt;&gt;"連結 SRC"),1,0)</f>
        <v>0</v>
      </c>
      <c r="W134" s="186" t="n">
        <f aca="false">IF(AND($F134="Analogy",OR($H134="—",$H134="")),1,0)</f>
        <v>0</v>
      </c>
      <c r="X134" s="186" t="n">
        <f aca="false">IF(AND(OR($F134="Analogy",$F134="Assumed"),$G134&lt;&gt;"低",$G134&lt;&gt;"高",NOT(ISNUMBER($K134)),NOT(ISNUMBER($L134)),OR($M134="—",$M134="")),1,0)</f>
        <v>0</v>
      </c>
      <c r="Y134" s="186" t="n">
        <f aca="false">IF(AND(OR($F134="Analogy",$F134="Assumed",$F134="Derived（待改公式）",$F134="Derived（公式）"),OR($N134="—",$N134="",$N134=0)),1,0)</f>
        <v>0</v>
      </c>
      <c r="Z134" s="186" t="n">
        <f aca="false">IF(AND($F134="Decision",OR($J134="—",$J134="")),1,0)</f>
        <v>0</v>
      </c>
      <c r="AA134" s="183" t="n">
        <f aca="false">IF(OR($J134="—",$J134=""),0,IF(COUNTIF(Decisions!$A$5:$A$300,$J134)=0,1,0))</f>
        <v>0</v>
      </c>
      <c r="AB134" s="186" t="n">
        <f aca="false">IF(AND($F134="原始數據",$S134&lt;&gt;"Active"),1,0)</f>
        <v>0</v>
      </c>
      <c r="AC134" s="186" t="n">
        <f aca="false">IF(AND(ISNUMBER($K134),ISNUMBER($L134),ISNUMBER($Q134)),IF(OR($Q134&lt;MIN($K134,$L134),$Q134&gt;MAX($K134,$L134)),1,0),0)</f>
        <v>0</v>
      </c>
      <c r="AD134" s="186" t="n">
        <f aca="false">IF(AND(ISNUMBER($T134),$P134="高"),IF($T134=3,1,0),0)</f>
        <v>0</v>
      </c>
      <c r="AE134" s="186" t="n">
        <f aca="false">IF($S134="不存在",1,0)</f>
        <v>0</v>
      </c>
      <c r="AF134" s="35" t="n">
        <f aca="false">IF(OR($H134="—",$H134=""),"—",MATCH($H134,IDX_SrcID,0))</f>
        <v>339</v>
      </c>
      <c r="AG134" s="104" t="n">
        <f aca="false">IF(AND($P134="高",OR($AD134=1,$X134=1)),1,0)</f>
        <v>0</v>
      </c>
      <c r="AH134" s="104" t="n">
        <f aca="false">IF(AND($P134="高",$AG134=0,OR($F134&lt;&gt;"原始數據",$T134&lt;&gt;1)),1,0)</f>
        <v>0</v>
      </c>
      <c r="AI134" s="53" t="str">
        <f aca="false">IF(AND($P134="高",ISNUMBER($AF134)),INDEX(IDX_SrcDate,$AF134),"—")</f>
        <v>—</v>
      </c>
      <c r="AJ134" s="104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6" t="s">
        <v>3547</v>
      </c>
      <c r="B135" s="215" t="s">
        <v>3183</v>
      </c>
      <c r="C135" s="36" t="s">
        <v>3341</v>
      </c>
      <c r="D135" s="36" t="s">
        <v>3548</v>
      </c>
      <c r="E135" s="6" t="s">
        <v>204</v>
      </c>
      <c r="F135" s="36" t="s">
        <v>84</v>
      </c>
      <c r="G135" s="215" t="s">
        <v>3185</v>
      </c>
      <c r="H135" s="36" t="s">
        <v>3549</v>
      </c>
      <c r="I135" s="19" t="s">
        <v>3550</v>
      </c>
      <c r="J135" s="36" t="s">
        <v>587</v>
      </c>
      <c r="K135" s="217" t="n">
        <v>16</v>
      </c>
      <c r="L135" s="217" t="n">
        <v>72</v>
      </c>
      <c r="M135" s="36" t="s">
        <v>3551</v>
      </c>
      <c r="N135" s="6" t="s">
        <v>3552</v>
      </c>
      <c r="O135" s="6" t="s">
        <v>587</v>
      </c>
      <c r="P135" s="215" t="s">
        <v>3244</v>
      </c>
      <c r="Q135" s="41" t="n">
        <f aca="false">Spec_Rack!D29</f>
        <v>32</v>
      </c>
      <c r="R135" s="185" t="n">
        <f aca="false">SRC_PERF_008</f>
        <v>32</v>
      </c>
      <c r="S135" s="35" t="str">
        <f aca="false">IF(ISNUMBER($AF135),INDEX(IDX_SrcStat,$AF135),"—")</f>
        <v>Active</v>
      </c>
      <c r="T135" s="35" t="n">
        <f aca="false">IF(ISNUMBER($AF135),INDEX(IDX_SrcGrade,$AF135),"—")</f>
        <v>1</v>
      </c>
      <c r="U135" s="35" t="s">
        <v>3189</v>
      </c>
      <c r="V135" s="186" t="n">
        <f aca="false">IF(AND($F135="原始數據",$U135&lt;&gt;"連結 SRC"),1,0)</f>
        <v>0</v>
      </c>
      <c r="W135" s="186" t="n">
        <f aca="false">IF(AND($F135="Analogy",OR($H135="—",$H135="")),1,0)</f>
        <v>0</v>
      </c>
      <c r="X135" s="186" t="n">
        <f aca="false">IF(AND(OR($F135="Analogy",$F135="Assumed"),$G135&lt;&gt;"低",$G135&lt;&gt;"高",NOT(ISNUMBER($K135)),NOT(ISNUMBER($L135)),OR($M135="—",$M135="")),1,0)</f>
        <v>0</v>
      </c>
      <c r="Y135" s="186" t="n">
        <f aca="false">IF(AND(OR($F135="Analogy",$F135="Assumed",$F135="Derived（待改公式）",$F135="Derived（公式）"),OR($N135="—",$N135="",$N135=0)),1,0)</f>
        <v>0</v>
      </c>
      <c r="Z135" s="186" t="n">
        <f aca="false">IF(AND($F135="Decision",OR($J135="—",$J135="")),1,0)</f>
        <v>0</v>
      </c>
      <c r="AA135" s="183" t="n">
        <f aca="false">IF(OR($J135="—",$J135=""),0,IF(COUNTIF(Decisions!$A$5:$A$300,$J135)=0,1,0))</f>
        <v>0</v>
      </c>
      <c r="AB135" s="186" t="n">
        <f aca="false">IF(AND($F135="原始數據",$S135&lt;&gt;"Active"),1,0)</f>
        <v>0</v>
      </c>
      <c r="AC135" s="186" t="n">
        <f aca="false">IF(AND(ISNUMBER($K135),ISNUMBER($L135),ISNUMBER($Q135)),IF(OR($Q135&lt;MIN($K135,$L135),$Q135&gt;MAX($K135,$L135)),1,0),0)</f>
        <v>0</v>
      </c>
      <c r="AD135" s="186" t="n">
        <f aca="false">IF(AND(ISNUMBER($T135),$P135="高"),IF($T135=3,1,0),0)</f>
        <v>0</v>
      </c>
      <c r="AE135" s="186" t="n">
        <f aca="false">IF($S135="不存在",1,0)</f>
        <v>0</v>
      </c>
      <c r="AF135" s="35" t="n">
        <f aca="false">IF(OR($H135="—",$H135=""),"—",MATCH($H135,IDX_SrcID,0))</f>
        <v>296</v>
      </c>
      <c r="AG135" s="104" t="n">
        <f aca="false">IF(AND($P135="高",OR($AD135=1,$X135=1)),1,0)</f>
        <v>0</v>
      </c>
      <c r="AH135" s="104" t="n">
        <f aca="false">IF(AND($P135="高",$AG135=0,OR($F135&lt;&gt;"原始數據",$T135&lt;&gt;1)),1,0)</f>
        <v>0</v>
      </c>
      <c r="AI135" s="53" t="str">
        <f aca="false">IF(AND($P135="高",ISNUMBER($AF135)),INDEX(IDX_SrcDate,$AF135),"—")</f>
        <v>—</v>
      </c>
      <c r="AJ135" s="104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6" t="s">
        <v>3553</v>
      </c>
      <c r="B136" s="215" t="s">
        <v>3183</v>
      </c>
      <c r="C136" s="36" t="s">
        <v>3341</v>
      </c>
      <c r="D136" s="36" t="s">
        <v>3554</v>
      </c>
      <c r="E136" s="6" t="s">
        <v>204</v>
      </c>
      <c r="F136" s="215" t="s">
        <v>298</v>
      </c>
      <c r="G136" s="215" t="s">
        <v>3185</v>
      </c>
      <c r="H136" s="36" t="s">
        <v>3549</v>
      </c>
      <c r="I136" s="19" t="s">
        <v>3220</v>
      </c>
      <c r="J136" s="36" t="s">
        <v>587</v>
      </c>
      <c r="K136" s="215"/>
      <c r="L136" s="215"/>
      <c r="M136" s="36" t="s">
        <v>587</v>
      </c>
      <c r="N136" s="19" t="s">
        <v>3406</v>
      </c>
      <c r="O136" s="6" t="s">
        <v>587</v>
      </c>
      <c r="P136" s="215" t="s">
        <v>3244</v>
      </c>
      <c r="Q136" s="41" t="n">
        <f aca="false">Spec_Rack!E29</f>
        <v>32</v>
      </c>
      <c r="R136" s="185" t="n">
        <f aca="false">SRC_PERF_008</f>
        <v>32</v>
      </c>
      <c r="S136" s="35" t="str">
        <f aca="false">IF(ISNUMBER($AF136),INDEX(IDX_SrcStat,$AF136),"—")</f>
        <v>Active</v>
      </c>
      <c r="T136" s="35" t="n">
        <f aca="false">IF(ISNUMBER($AF136),INDEX(IDX_SrcGrade,$AF136),"—")</f>
        <v>1</v>
      </c>
      <c r="U136" s="35" t="s">
        <v>3222</v>
      </c>
      <c r="V136" s="186" t="n">
        <f aca="false">IF(AND($F136="原始數據",$U136&lt;&gt;"連結 SRC"),1,0)</f>
        <v>0</v>
      </c>
      <c r="W136" s="186" t="n">
        <f aca="false">IF(AND($F136="Analogy",OR($H136="—",$H136="")),1,0)</f>
        <v>0</v>
      </c>
      <c r="X136" s="186" t="n">
        <f aca="false">IF(AND(OR($F136="Analogy",$F136="Assumed"),$G136&lt;&gt;"低",$G136&lt;&gt;"高",NOT(ISNUMBER($K136)),NOT(ISNUMBER($L136)),OR($M136="—",$M136="")),1,0)</f>
        <v>0</v>
      </c>
      <c r="Y136" s="186" t="n">
        <f aca="false">IF(AND(OR($F136="Analogy",$F136="Assumed",$F136="Derived（待改公式）",$F136="Derived（公式）"),OR($N136="—",$N136="",$N136=0)),1,0)</f>
        <v>0</v>
      </c>
      <c r="Z136" s="186" t="n">
        <f aca="false">IF(AND($F136="Decision",OR($J136="—",$J136="")),1,0)</f>
        <v>0</v>
      </c>
      <c r="AA136" s="183" t="n">
        <f aca="false">IF(OR($J136="—",$J136=""),0,IF(COUNTIF(Decisions!$A$5:$A$300,$J136)=0,1,0))</f>
        <v>0</v>
      </c>
      <c r="AB136" s="186" t="n">
        <f aca="false">IF(AND($F136="原始數據",$S136&lt;&gt;"Active"),1,0)</f>
        <v>0</v>
      </c>
      <c r="AC136" s="186" t="n">
        <f aca="false">IF(AND(ISNUMBER($K136),ISNUMBER($L136),ISNUMBER($Q136)),IF(OR($Q136&lt;MIN($K136,$L136),$Q136&gt;MAX($K136,$L136)),1,0),0)</f>
        <v>0</v>
      </c>
      <c r="AD136" s="186" t="n">
        <f aca="false">IF(AND(ISNUMBER($T136),$P136="高"),IF($T136=3,1,0),0)</f>
        <v>0</v>
      </c>
      <c r="AE136" s="186" t="n">
        <f aca="false">IF($S136="不存在",1,0)</f>
        <v>0</v>
      </c>
      <c r="AF136" s="35" t="n">
        <f aca="false">IF(OR($H136="—",$H136=""),"—",MATCH($H136,IDX_SrcID,0))</f>
        <v>296</v>
      </c>
      <c r="AG136" s="104" t="n">
        <f aca="false">IF(AND($P136="高",OR($AD136=1,$X136=1)),1,0)</f>
        <v>0</v>
      </c>
      <c r="AH136" s="104" t="n">
        <f aca="false">IF(AND($P136="高",$AG136=0,OR($F136&lt;&gt;"原始數據",$T136&lt;&gt;1)),1,0)</f>
        <v>0</v>
      </c>
      <c r="AI136" s="53" t="str">
        <f aca="false">IF(AND($P136="高",ISNUMBER($AF136)),INDEX(IDX_SrcDate,$AF136),"—")</f>
        <v>—</v>
      </c>
      <c r="AJ136" s="104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6" t="s">
        <v>3555</v>
      </c>
      <c r="B137" s="215" t="s">
        <v>3183</v>
      </c>
      <c r="C137" s="36" t="s">
        <v>3341</v>
      </c>
      <c r="D137" s="36" t="s">
        <v>3556</v>
      </c>
      <c r="E137" s="6" t="s">
        <v>204</v>
      </c>
      <c r="F137" s="36" t="s">
        <v>84</v>
      </c>
      <c r="G137" s="215" t="s">
        <v>3185</v>
      </c>
      <c r="H137" s="36" t="s">
        <v>3549</v>
      </c>
      <c r="I137" s="19" t="s">
        <v>3550</v>
      </c>
      <c r="J137" s="36" t="s">
        <v>587</v>
      </c>
      <c r="K137" s="217" t="n">
        <v>16</v>
      </c>
      <c r="L137" s="217" t="n">
        <v>72</v>
      </c>
      <c r="M137" s="36" t="s">
        <v>3551</v>
      </c>
      <c r="N137" s="6" t="s">
        <v>3552</v>
      </c>
      <c r="O137" s="6" t="s">
        <v>587</v>
      </c>
      <c r="P137" s="215" t="s">
        <v>3244</v>
      </c>
      <c r="Q137" s="41" t="n">
        <f aca="false">Spec_Rack!F29</f>
        <v>32</v>
      </c>
      <c r="R137" s="185" t="n">
        <f aca="false">SRC_PERF_008</f>
        <v>32</v>
      </c>
      <c r="S137" s="35" t="str">
        <f aca="false">IF(ISNUMBER($AF137),INDEX(IDX_SrcStat,$AF137),"—")</f>
        <v>Active</v>
      </c>
      <c r="T137" s="35" t="n">
        <f aca="false">IF(ISNUMBER($AF137),INDEX(IDX_SrcGrade,$AF137),"—")</f>
        <v>1</v>
      </c>
      <c r="U137" s="35" t="s">
        <v>3189</v>
      </c>
      <c r="V137" s="186" t="n">
        <f aca="false">IF(AND($F137="原始數據",$U137&lt;&gt;"連結 SRC"),1,0)</f>
        <v>0</v>
      </c>
      <c r="W137" s="186" t="n">
        <f aca="false">IF(AND($F137="Analogy",OR($H137="—",$H137="")),1,0)</f>
        <v>0</v>
      </c>
      <c r="X137" s="186" t="n">
        <f aca="false">IF(AND(OR($F137="Analogy",$F137="Assumed"),$G137&lt;&gt;"低",$G137&lt;&gt;"高",NOT(ISNUMBER($K137)),NOT(ISNUMBER($L137)),OR($M137="—",$M137="")),1,0)</f>
        <v>0</v>
      </c>
      <c r="Y137" s="186" t="n">
        <f aca="false">IF(AND(OR($F137="Analogy",$F137="Assumed",$F137="Derived（待改公式）",$F137="Derived（公式）"),OR($N137="—",$N137="",$N137=0)),1,0)</f>
        <v>0</v>
      </c>
      <c r="Z137" s="186" t="n">
        <f aca="false">IF(AND($F137="Decision",OR($J137="—",$J137="")),1,0)</f>
        <v>0</v>
      </c>
      <c r="AA137" s="183" t="n">
        <f aca="false">IF(OR($J137="—",$J137=""),0,IF(COUNTIF(Decisions!$A$5:$A$300,$J137)=0,1,0))</f>
        <v>0</v>
      </c>
      <c r="AB137" s="186" t="n">
        <f aca="false">IF(AND($F137="原始數據",$S137&lt;&gt;"Active"),1,0)</f>
        <v>0</v>
      </c>
      <c r="AC137" s="186" t="n">
        <f aca="false">IF(AND(ISNUMBER($K137),ISNUMBER($L137),ISNUMBER($Q137)),IF(OR($Q137&lt;MIN($K137,$L137),$Q137&gt;MAX($K137,$L137)),1,0),0)</f>
        <v>0</v>
      </c>
      <c r="AD137" s="186" t="n">
        <f aca="false">IF(AND(ISNUMBER($T137),$P137="高"),IF($T137=3,1,0),0)</f>
        <v>0</v>
      </c>
      <c r="AE137" s="186" t="n">
        <f aca="false">IF($S137="不存在",1,0)</f>
        <v>0</v>
      </c>
      <c r="AF137" s="35" t="n">
        <f aca="false">IF(OR($H137="—",$H137=""),"—",MATCH($H137,IDX_SrcID,0))</f>
        <v>296</v>
      </c>
      <c r="AG137" s="104" t="n">
        <f aca="false">IF(AND($P137="高",OR($AD137=1,$X137=1)),1,0)</f>
        <v>0</v>
      </c>
      <c r="AH137" s="104" t="n">
        <f aca="false">IF(AND($P137="高",$AG137=0,OR($F137&lt;&gt;"原始數據",$T137&lt;&gt;1)),1,0)</f>
        <v>0</v>
      </c>
      <c r="AI137" s="53" t="str">
        <f aca="false">IF(AND($P137="高",ISNUMBER($AF137)),INDEX(IDX_SrcDate,$AF137),"—")</f>
        <v>—</v>
      </c>
      <c r="AJ137" s="104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6" t="s">
        <v>3557</v>
      </c>
      <c r="B138" s="215" t="s">
        <v>3183</v>
      </c>
      <c r="C138" s="36" t="s">
        <v>3341</v>
      </c>
      <c r="D138" s="36" t="s">
        <v>3558</v>
      </c>
      <c r="E138" s="6" t="s">
        <v>204</v>
      </c>
      <c r="F138" s="36" t="s">
        <v>80</v>
      </c>
      <c r="G138" s="215" t="s">
        <v>3185</v>
      </c>
      <c r="H138" s="36" t="s">
        <v>587</v>
      </c>
      <c r="I138" s="6" t="s">
        <v>587</v>
      </c>
      <c r="J138" s="36" t="s">
        <v>587</v>
      </c>
      <c r="K138" s="217" t="n">
        <v>32</v>
      </c>
      <c r="L138" s="217" t="n">
        <v>144</v>
      </c>
      <c r="M138" s="36" t="s">
        <v>3545</v>
      </c>
      <c r="N138" s="6" t="s">
        <v>3499</v>
      </c>
      <c r="O138" s="6" t="s">
        <v>587</v>
      </c>
      <c r="P138" s="215" t="s">
        <v>3244</v>
      </c>
      <c r="Q138" s="41" t="n">
        <f aca="false">Spec_Rack!G29</f>
        <v>64</v>
      </c>
      <c r="R138" s="36" t="s">
        <v>587</v>
      </c>
      <c r="S138" s="35" t="str">
        <f aca="false">IF(ISNUMBER($AF138),INDEX(IDX_SrcStat,$AF138),"—")</f>
        <v>—</v>
      </c>
      <c r="T138" s="35" t="str">
        <f aca="false">IF(ISNUMBER($AF138),INDEX(IDX_SrcGrade,$AF138),"—")</f>
        <v>—</v>
      </c>
      <c r="U138" s="35" t="s">
        <v>3189</v>
      </c>
      <c r="V138" s="186" t="n">
        <f aca="false">IF(AND($F138="原始數據",$U138&lt;&gt;"連結 SRC"),1,0)</f>
        <v>0</v>
      </c>
      <c r="W138" s="186" t="n">
        <f aca="false">IF(AND($F138="Analogy",OR($H138="—",$H138="")),1,0)</f>
        <v>0</v>
      </c>
      <c r="X138" s="186" t="n">
        <f aca="false">IF(AND(OR($F138="Analogy",$F138="Assumed"),$G138&lt;&gt;"低",$G138&lt;&gt;"高",NOT(ISNUMBER($K138)),NOT(ISNUMBER($L138)),OR($M138="—",$M138="")),1,0)</f>
        <v>0</v>
      </c>
      <c r="Y138" s="186" t="n">
        <f aca="false">IF(AND(OR($F138="Analogy",$F138="Assumed",$F138="Derived（待改公式）",$F138="Derived（公式）"),OR($N138="—",$N138="",$N138=0)),1,0)</f>
        <v>0</v>
      </c>
      <c r="Z138" s="186" t="n">
        <f aca="false">IF(AND($F138="Decision",OR($J138="—",$J138="")),1,0)</f>
        <v>0</v>
      </c>
      <c r="AA138" s="183" t="n">
        <f aca="false">IF(OR($J138="—",$J138=""),0,IF(COUNTIF(Decisions!$A$5:$A$300,$J138)=0,1,0))</f>
        <v>0</v>
      </c>
      <c r="AB138" s="186" t="n">
        <f aca="false">IF(AND($F138="原始數據",$S138&lt;&gt;"Active"),1,0)</f>
        <v>0</v>
      </c>
      <c r="AC138" s="186" t="n">
        <f aca="false">IF(AND(ISNUMBER($K138),ISNUMBER($L138),ISNUMBER($Q138)),IF(OR($Q138&lt;MIN($K138,$L138),$Q138&gt;MAX($K138,$L138)),1,0),0)</f>
        <v>0</v>
      </c>
      <c r="AD138" s="186" t="n">
        <f aca="false">IF(AND(ISNUMBER($T138),$P138="高"),IF($T138=3,1,0),0)</f>
        <v>0</v>
      </c>
      <c r="AE138" s="186" t="n">
        <f aca="false">IF($S138="不存在",1,0)</f>
        <v>0</v>
      </c>
      <c r="AF138" s="35" t="str">
        <f aca="false">IF(OR($H138="—",$H138=""),"—",MATCH($H138,IDX_SrcID,0))</f>
        <v>—</v>
      </c>
      <c r="AG138" s="104" t="n">
        <f aca="false">IF(AND($P138="高",OR($AD138=1,$X138=1)),1,0)</f>
        <v>0</v>
      </c>
      <c r="AH138" s="104" t="n">
        <f aca="false">IF(AND($P138="高",$AG138=0,OR($F138&lt;&gt;"原始數據",$T138&lt;&gt;1)),1,0)</f>
        <v>0</v>
      </c>
      <c r="AI138" s="53" t="str">
        <f aca="false">IF(AND($P138="高",ISNUMBER($AF138)),INDEX(IDX_SrcDate,$AF138),"—")</f>
        <v>—</v>
      </c>
      <c r="AJ138" s="104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6" t="s">
        <v>3559</v>
      </c>
      <c r="B139" s="215" t="s">
        <v>3183</v>
      </c>
      <c r="C139" s="36" t="s">
        <v>3341</v>
      </c>
      <c r="D139" s="36" t="s">
        <v>3560</v>
      </c>
      <c r="E139" s="19" t="s">
        <v>3561</v>
      </c>
      <c r="F139" s="215" t="s">
        <v>298</v>
      </c>
      <c r="G139" s="215" t="s">
        <v>3185</v>
      </c>
      <c r="H139" s="36" t="s">
        <v>3562</v>
      </c>
      <c r="I139" s="19" t="s">
        <v>3220</v>
      </c>
      <c r="J139" s="36" t="s">
        <v>587</v>
      </c>
      <c r="K139" s="215"/>
      <c r="L139" s="215"/>
      <c r="M139" s="36" t="s">
        <v>587</v>
      </c>
      <c r="N139" s="19" t="s">
        <v>3406</v>
      </c>
      <c r="O139" s="6" t="s">
        <v>587</v>
      </c>
      <c r="P139" s="215" t="s">
        <v>3244</v>
      </c>
      <c r="Q139" s="45" t="n">
        <f aca="false">Spec_Rack!C30</f>
        <v>1</v>
      </c>
      <c r="R139" s="185" t="n">
        <f aca="false">SRC_HW_055</f>
        <v>1</v>
      </c>
      <c r="S139" s="35" t="str">
        <f aca="false">IF(ISNUMBER($AF139),INDEX(IDX_SrcStat,$AF139),"—")</f>
        <v>Active</v>
      </c>
      <c r="T139" s="35" t="n">
        <f aca="false">IF(ISNUMBER($AF139),INDEX(IDX_SrcGrade,$AF139),"—")</f>
        <v>3</v>
      </c>
      <c r="U139" s="35" t="s">
        <v>3222</v>
      </c>
      <c r="V139" s="186" t="n">
        <f aca="false">IF(AND($F139="原始數據",$U139&lt;&gt;"連結 SRC"),1,0)</f>
        <v>0</v>
      </c>
      <c r="W139" s="186" t="n">
        <f aca="false">IF(AND($F139="Analogy",OR($H139="—",$H139="")),1,0)</f>
        <v>0</v>
      </c>
      <c r="X139" s="186" t="n">
        <f aca="false">IF(AND(OR($F139="Analogy",$F139="Assumed"),$G139&lt;&gt;"低",$G139&lt;&gt;"高",NOT(ISNUMBER($K139)),NOT(ISNUMBER($L139)),OR($M139="—",$M139="")),1,0)</f>
        <v>0</v>
      </c>
      <c r="Y139" s="186" t="n">
        <f aca="false">IF(AND(OR($F139="Analogy",$F139="Assumed",$F139="Derived（待改公式）",$F139="Derived（公式）"),OR($N139="—",$N139="",$N139=0)),1,0)</f>
        <v>0</v>
      </c>
      <c r="Z139" s="186" t="n">
        <f aca="false">IF(AND($F139="Decision",OR($J139="—",$J139="")),1,0)</f>
        <v>0</v>
      </c>
      <c r="AA139" s="183" t="n">
        <f aca="false">IF(OR($J139="—",$J139=""),0,IF(COUNTIF(Decisions!$A$5:$A$300,$J139)=0,1,0))</f>
        <v>0</v>
      </c>
      <c r="AB139" s="186" t="n">
        <f aca="false">IF(AND($F139="原始數據",$S139&lt;&gt;"Active"),1,0)</f>
        <v>0</v>
      </c>
      <c r="AC139" s="186" t="n">
        <f aca="false">IF(AND(ISNUMBER($K139),ISNUMBER($L139),ISNUMBER($Q139)),IF(OR($Q139&lt;MIN($K139,$L139),$Q139&gt;MAX($K139,$L139)),1,0),0)</f>
        <v>0</v>
      </c>
      <c r="AD139" s="186" t="n">
        <f aca="false">IF(AND(ISNUMBER($T139),$P139="高"),IF($T139=3,1,0),0)</f>
        <v>0</v>
      </c>
      <c r="AE139" s="186" t="n">
        <f aca="false">IF($S139="不存在",1,0)</f>
        <v>0</v>
      </c>
      <c r="AF139" s="35" t="n">
        <f aca="false">IF(OR($H139="—",$H139=""),"—",MATCH($H139,IDX_SrcID,0))</f>
        <v>55</v>
      </c>
      <c r="AG139" s="104" t="n">
        <f aca="false">IF(AND($P139="高",OR($AD139=1,$X139=1)),1,0)</f>
        <v>0</v>
      </c>
      <c r="AH139" s="104" t="n">
        <f aca="false">IF(AND($P139="高",$AG139=0,OR($F139&lt;&gt;"原始數據",$T139&lt;&gt;1)),1,0)</f>
        <v>0</v>
      </c>
      <c r="AI139" s="53" t="str">
        <f aca="false">IF(AND($P139="高",ISNUMBER($AF139)),INDEX(IDX_SrcDate,$AF139),"—")</f>
        <v>—</v>
      </c>
      <c r="AJ139" s="104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6" t="s">
        <v>3563</v>
      </c>
      <c r="B140" s="215" t="s">
        <v>3183</v>
      </c>
      <c r="C140" s="36" t="s">
        <v>3341</v>
      </c>
      <c r="D140" s="36" t="s">
        <v>3280</v>
      </c>
      <c r="E140" s="19" t="s">
        <v>3561</v>
      </c>
      <c r="F140" s="215" t="s">
        <v>298</v>
      </c>
      <c r="G140" s="215" t="s">
        <v>3185</v>
      </c>
      <c r="H140" s="36" t="s">
        <v>3564</v>
      </c>
      <c r="I140" s="19" t="s">
        <v>3220</v>
      </c>
      <c r="J140" s="36" t="s">
        <v>587</v>
      </c>
      <c r="K140" s="215"/>
      <c r="L140" s="215"/>
      <c r="M140" s="36" t="s">
        <v>587</v>
      </c>
      <c r="N140" s="19" t="s">
        <v>3406</v>
      </c>
      <c r="O140" s="6" t="s">
        <v>587</v>
      </c>
      <c r="P140" s="215" t="s">
        <v>3244</v>
      </c>
      <c r="Q140" s="45" t="n">
        <f aca="false">Spec_Rack!D30</f>
        <v>0.5625</v>
      </c>
      <c r="R140" s="185" t="n">
        <f aca="false">SRC_HW_050</f>
        <v>0.5625</v>
      </c>
      <c r="S140" s="35" t="str">
        <f aca="false">IF(ISNUMBER($AF140),INDEX(IDX_SrcStat,$AF140),"—")</f>
        <v>Active</v>
      </c>
      <c r="T140" s="35" t="n">
        <f aca="false">IF(ISNUMBER($AF140),INDEX(IDX_SrcGrade,$AF140),"—")</f>
        <v>3</v>
      </c>
      <c r="U140" s="35" t="s">
        <v>3222</v>
      </c>
      <c r="V140" s="186" t="n">
        <f aca="false">IF(AND($F140="原始數據",$U140&lt;&gt;"連結 SRC"),1,0)</f>
        <v>0</v>
      </c>
      <c r="W140" s="186" t="n">
        <f aca="false">IF(AND($F140="Analogy",OR($H140="—",$H140="")),1,0)</f>
        <v>0</v>
      </c>
      <c r="X140" s="186" t="n">
        <f aca="false">IF(AND(OR($F140="Analogy",$F140="Assumed"),$G140&lt;&gt;"低",$G140&lt;&gt;"高",NOT(ISNUMBER($K140)),NOT(ISNUMBER($L140)),OR($M140="—",$M140="")),1,0)</f>
        <v>0</v>
      </c>
      <c r="Y140" s="186" t="n">
        <f aca="false">IF(AND(OR($F140="Analogy",$F140="Assumed",$F140="Derived（待改公式）",$F140="Derived（公式）"),OR($N140="—",$N140="",$N140=0)),1,0)</f>
        <v>0</v>
      </c>
      <c r="Z140" s="186" t="n">
        <f aca="false">IF(AND($F140="Decision",OR($J140="—",$J140="")),1,0)</f>
        <v>0</v>
      </c>
      <c r="AA140" s="183" t="n">
        <f aca="false">IF(OR($J140="—",$J140=""),0,IF(COUNTIF(Decisions!$A$5:$A$300,$J140)=0,1,0))</f>
        <v>0</v>
      </c>
      <c r="AB140" s="186" t="n">
        <f aca="false">IF(AND($F140="原始數據",$S140&lt;&gt;"Active"),1,0)</f>
        <v>0</v>
      </c>
      <c r="AC140" s="186" t="n">
        <f aca="false">IF(AND(ISNUMBER($K140),ISNUMBER($L140),ISNUMBER($Q140)),IF(OR($Q140&lt;MIN($K140,$L140),$Q140&gt;MAX($K140,$L140)),1,0),0)</f>
        <v>0</v>
      </c>
      <c r="AD140" s="186" t="n">
        <f aca="false">IF(AND(ISNUMBER($T140),$P140="高"),IF($T140=3,1,0),0)</f>
        <v>0</v>
      </c>
      <c r="AE140" s="186" t="n">
        <f aca="false">IF($S140="不存在",1,0)</f>
        <v>0</v>
      </c>
      <c r="AF140" s="35" t="n">
        <f aca="false">IF(OR($H140="—",$H140=""),"—",MATCH($H140,IDX_SrcID,0))</f>
        <v>50</v>
      </c>
      <c r="AG140" s="104" t="n">
        <f aca="false">IF(AND($P140="高",OR($AD140=1,$X140=1)),1,0)</f>
        <v>0</v>
      </c>
      <c r="AH140" s="104" t="n">
        <f aca="false">IF(AND($P140="高",$AG140=0,OR($F140&lt;&gt;"原始數據",$T140&lt;&gt;1)),1,0)</f>
        <v>0</v>
      </c>
      <c r="AI140" s="53" t="str">
        <f aca="false">IF(AND($P140="高",ISNUMBER($AF140)),INDEX(IDX_SrcDate,$AF140),"—")</f>
        <v>—</v>
      </c>
      <c r="AJ140" s="104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6" t="s">
        <v>3565</v>
      </c>
      <c r="B141" s="215" t="s">
        <v>3183</v>
      </c>
      <c r="C141" s="36" t="s">
        <v>3341</v>
      </c>
      <c r="D141" s="36" t="s">
        <v>3276</v>
      </c>
      <c r="E141" s="19" t="s">
        <v>3561</v>
      </c>
      <c r="F141" s="215" t="s">
        <v>298</v>
      </c>
      <c r="G141" s="215" t="s">
        <v>3185</v>
      </c>
      <c r="H141" s="36" t="s">
        <v>3564</v>
      </c>
      <c r="I141" s="19" t="s">
        <v>3220</v>
      </c>
      <c r="J141" s="36" t="s">
        <v>587</v>
      </c>
      <c r="K141" s="215"/>
      <c r="L141" s="215"/>
      <c r="M141" s="36" t="s">
        <v>587</v>
      </c>
      <c r="N141" s="19" t="s">
        <v>3406</v>
      </c>
      <c r="O141" s="6" t="s">
        <v>587</v>
      </c>
      <c r="P141" s="215" t="s">
        <v>3244</v>
      </c>
      <c r="Q141" s="45" t="n">
        <f aca="false">Spec_Rack!E30</f>
        <v>0.5625</v>
      </c>
      <c r="R141" s="185" t="n">
        <f aca="false">SRC_HW_050</f>
        <v>0.5625</v>
      </c>
      <c r="S141" s="35" t="str">
        <f aca="false">IF(ISNUMBER($AF141),INDEX(IDX_SrcStat,$AF141),"—")</f>
        <v>Active</v>
      </c>
      <c r="T141" s="35" t="n">
        <f aca="false">IF(ISNUMBER($AF141),INDEX(IDX_SrcGrade,$AF141),"—")</f>
        <v>3</v>
      </c>
      <c r="U141" s="35" t="s">
        <v>3222</v>
      </c>
      <c r="V141" s="186" t="n">
        <f aca="false">IF(AND($F141="原始數據",$U141&lt;&gt;"連結 SRC"),1,0)</f>
        <v>0</v>
      </c>
      <c r="W141" s="186" t="n">
        <f aca="false">IF(AND($F141="Analogy",OR($H141="—",$H141="")),1,0)</f>
        <v>0</v>
      </c>
      <c r="X141" s="186" t="n">
        <f aca="false">IF(AND(OR($F141="Analogy",$F141="Assumed"),$G141&lt;&gt;"低",$G141&lt;&gt;"高",NOT(ISNUMBER($K141)),NOT(ISNUMBER($L141)),OR($M141="—",$M141="")),1,0)</f>
        <v>0</v>
      </c>
      <c r="Y141" s="186" t="n">
        <f aca="false">IF(AND(OR($F141="Analogy",$F141="Assumed",$F141="Derived（待改公式）",$F141="Derived（公式）"),OR($N141="—",$N141="",$N141=0)),1,0)</f>
        <v>0</v>
      </c>
      <c r="Z141" s="186" t="n">
        <f aca="false">IF(AND($F141="Decision",OR($J141="—",$J141="")),1,0)</f>
        <v>0</v>
      </c>
      <c r="AA141" s="183" t="n">
        <f aca="false">IF(OR($J141="—",$J141=""),0,IF(COUNTIF(Decisions!$A$5:$A$300,$J141)=0,1,0))</f>
        <v>0</v>
      </c>
      <c r="AB141" s="186" t="n">
        <f aca="false">IF(AND($F141="原始數據",$S141&lt;&gt;"Active"),1,0)</f>
        <v>0</v>
      </c>
      <c r="AC141" s="186" t="n">
        <f aca="false">IF(AND(ISNUMBER($K141),ISNUMBER($L141),ISNUMBER($Q141)),IF(OR($Q141&lt;MIN($K141,$L141),$Q141&gt;MAX($K141,$L141)),1,0),0)</f>
        <v>0</v>
      </c>
      <c r="AD141" s="186" t="n">
        <f aca="false">IF(AND(ISNUMBER($T141),$P141="高"),IF($T141=3,1,0),0)</f>
        <v>0</v>
      </c>
      <c r="AE141" s="186" t="n">
        <f aca="false">IF($S141="不存在",1,0)</f>
        <v>0</v>
      </c>
      <c r="AF141" s="35" t="n">
        <f aca="false">IF(OR($H141="—",$H141=""),"—",MATCH($H141,IDX_SrcID,0))</f>
        <v>50</v>
      </c>
      <c r="AG141" s="104" t="n">
        <f aca="false">IF(AND($P141="高",OR($AD141=1,$X141=1)),1,0)</f>
        <v>0</v>
      </c>
      <c r="AH141" s="104" t="n">
        <f aca="false">IF(AND($P141="高",$AG141=0,OR($F141&lt;&gt;"原始數據",$T141&lt;&gt;1)),1,0)</f>
        <v>0</v>
      </c>
      <c r="AI141" s="53" t="str">
        <f aca="false">IF(AND($P141="高",ISNUMBER($AF141)),INDEX(IDX_SrcDate,$AF141),"—")</f>
        <v>—</v>
      </c>
      <c r="AJ141" s="104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6" t="s">
        <v>3566</v>
      </c>
      <c r="B142" s="215" t="s">
        <v>3183</v>
      </c>
      <c r="C142" s="36" t="s">
        <v>3341</v>
      </c>
      <c r="D142" s="36" t="s">
        <v>3282</v>
      </c>
      <c r="E142" s="19" t="s">
        <v>3561</v>
      </c>
      <c r="F142" s="215" t="s">
        <v>298</v>
      </c>
      <c r="G142" s="215" t="s">
        <v>3185</v>
      </c>
      <c r="H142" s="36" t="s">
        <v>3564</v>
      </c>
      <c r="I142" s="19" t="s">
        <v>3220</v>
      </c>
      <c r="J142" s="36" t="s">
        <v>587</v>
      </c>
      <c r="K142" s="215"/>
      <c r="L142" s="215"/>
      <c r="M142" s="36" t="s">
        <v>587</v>
      </c>
      <c r="N142" s="19" t="s">
        <v>3406</v>
      </c>
      <c r="O142" s="6" t="s">
        <v>587</v>
      </c>
      <c r="P142" s="215" t="s">
        <v>3244</v>
      </c>
      <c r="Q142" s="45" t="n">
        <f aca="false">Spec_Rack!F30</f>
        <v>0.5625</v>
      </c>
      <c r="R142" s="185" t="n">
        <f aca="false">SRC_HW_050</f>
        <v>0.5625</v>
      </c>
      <c r="S142" s="35" t="str">
        <f aca="false">IF(ISNUMBER($AF142),INDEX(IDX_SrcStat,$AF142),"—")</f>
        <v>Active</v>
      </c>
      <c r="T142" s="35" t="n">
        <f aca="false">IF(ISNUMBER($AF142),INDEX(IDX_SrcGrade,$AF142),"—")</f>
        <v>3</v>
      </c>
      <c r="U142" s="35" t="s">
        <v>3222</v>
      </c>
      <c r="V142" s="186" t="n">
        <f aca="false">IF(AND($F142="原始數據",$U142&lt;&gt;"連結 SRC"),1,0)</f>
        <v>0</v>
      </c>
      <c r="W142" s="186" t="n">
        <f aca="false">IF(AND($F142="Analogy",OR($H142="—",$H142="")),1,0)</f>
        <v>0</v>
      </c>
      <c r="X142" s="186" t="n">
        <f aca="false">IF(AND(OR($F142="Analogy",$F142="Assumed"),$G142&lt;&gt;"低",$G142&lt;&gt;"高",NOT(ISNUMBER($K142)),NOT(ISNUMBER($L142)),OR($M142="—",$M142="")),1,0)</f>
        <v>0</v>
      </c>
      <c r="Y142" s="186" t="n">
        <f aca="false">IF(AND(OR($F142="Analogy",$F142="Assumed",$F142="Derived（待改公式）",$F142="Derived（公式）"),OR($N142="—",$N142="",$N142=0)),1,0)</f>
        <v>0</v>
      </c>
      <c r="Z142" s="186" t="n">
        <f aca="false">IF(AND($F142="Decision",OR($J142="—",$J142="")),1,0)</f>
        <v>0</v>
      </c>
      <c r="AA142" s="183" t="n">
        <f aca="false">IF(OR($J142="—",$J142=""),0,IF(COUNTIF(Decisions!$A$5:$A$300,$J142)=0,1,0))</f>
        <v>0</v>
      </c>
      <c r="AB142" s="186" t="n">
        <f aca="false">IF(AND($F142="原始數據",$S142&lt;&gt;"Active"),1,0)</f>
        <v>0</v>
      </c>
      <c r="AC142" s="186" t="n">
        <f aca="false">IF(AND(ISNUMBER($K142),ISNUMBER($L142),ISNUMBER($Q142)),IF(OR($Q142&lt;MIN($K142,$L142),$Q142&gt;MAX($K142,$L142)),1,0),0)</f>
        <v>0</v>
      </c>
      <c r="AD142" s="186" t="n">
        <f aca="false">IF(AND(ISNUMBER($T142),$P142="高"),IF($T142=3,1,0),0)</f>
        <v>0</v>
      </c>
      <c r="AE142" s="186" t="n">
        <f aca="false">IF($S142="不存在",1,0)</f>
        <v>0</v>
      </c>
      <c r="AF142" s="35" t="n">
        <f aca="false">IF(OR($H142="—",$H142=""),"—",MATCH($H142,IDX_SrcID,0))</f>
        <v>50</v>
      </c>
      <c r="AG142" s="104" t="n">
        <f aca="false">IF(AND($P142="高",OR($AD142=1,$X142=1)),1,0)</f>
        <v>0</v>
      </c>
      <c r="AH142" s="104" t="n">
        <f aca="false">IF(AND($P142="高",$AG142=0,OR($F142&lt;&gt;"原始數據",$T142&lt;&gt;1)),1,0)</f>
        <v>0</v>
      </c>
      <c r="AI142" s="53" t="str">
        <f aca="false">IF(AND($P142="高",ISNUMBER($AF142)),INDEX(IDX_SrcDate,$AF142),"—")</f>
        <v>—</v>
      </c>
      <c r="AJ142" s="104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6" t="s">
        <v>3567</v>
      </c>
      <c r="B143" s="215" t="s">
        <v>3183</v>
      </c>
      <c r="C143" s="36" t="s">
        <v>3341</v>
      </c>
      <c r="D143" s="36" t="s">
        <v>3568</v>
      </c>
      <c r="E143" s="19" t="s">
        <v>3561</v>
      </c>
      <c r="F143" s="215" t="s">
        <v>298</v>
      </c>
      <c r="G143" s="215" t="s">
        <v>3185</v>
      </c>
      <c r="H143" s="36" t="s">
        <v>3564</v>
      </c>
      <c r="I143" s="19" t="s">
        <v>3220</v>
      </c>
      <c r="J143" s="36" t="s">
        <v>587</v>
      </c>
      <c r="K143" s="215"/>
      <c r="L143" s="215"/>
      <c r="M143" s="36" t="s">
        <v>587</v>
      </c>
      <c r="N143" s="19" t="s">
        <v>3406</v>
      </c>
      <c r="O143" s="6" t="s">
        <v>587</v>
      </c>
      <c r="P143" s="215" t="s">
        <v>3244</v>
      </c>
      <c r="Q143" s="45" t="n">
        <f aca="false">Spec_Rack!G30</f>
        <v>0.5625</v>
      </c>
      <c r="R143" s="185" t="n">
        <f aca="false">SRC_HW_050</f>
        <v>0.5625</v>
      </c>
      <c r="S143" s="35" t="str">
        <f aca="false">IF(ISNUMBER($AF143),INDEX(IDX_SrcStat,$AF143),"—")</f>
        <v>Active</v>
      </c>
      <c r="T143" s="35" t="n">
        <f aca="false">IF(ISNUMBER($AF143),INDEX(IDX_SrcGrade,$AF143),"—")</f>
        <v>3</v>
      </c>
      <c r="U143" s="35" t="s">
        <v>3222</v>
      </c>
      <c r="V143" s="186" t="n">
        <f aca="false">IF(AND($F143="原始數據",$U143&lt;&gt;"連結 SRC"),1,0)</f>
        <v>0</v>
      </c>
      <c r="W143" s="186" t="n">
        <f aca="false">IF(AND($F143="Analogy",OR($H143="—",$H143="")),1,0)</f>
        <v>0</v>
      </c>
      <c r="X143" s="186" t="n">
        <f aca="false">IF(AND(OR($F143="Analogy",$F143="Assumed"),$G143&lt;&gt;"低",$G143&lt;&gt;"高",NOT(ISNUMBER($K143)),NOT(ISNUMBER($L143)),OR($M143="—",$M143="")),1,0)</f>
        <v>0</v>
      </c>
      <c r="Y143" s="186" t="n">
        <f aca="false">IF(AND(OR($F143="Analogy",$F143="Assumed",$F143="Derived（待改公式）",$F143="Derived（公式）"),OR($N143="—",$N143="",$N143=0)),1,0)</f>
        <v>0</v>
      </c>
      <c r="Z143" s="186" t="n">
        <f aca="false">IF(AND($F143="Decision",OR($J143="—",$J143="")),1,0)</f>
        <v>0</v>
      </c>
      <c r="AA143" s="183" t="n">
        <f aca="false">IF(OR($J143="—",$J143=""),0,IF(COUNTIF(Decisions!$A$5:$A$300,$J143)=0,1,0))</f>
        <v>0</v>
      </c>
      <c r="AB143" s="186" t="n">
        <f aca="false">IF(AND($F143="原始數據",$S143&lt;&gt;"Active"),1,0)</f>
        <v>0</v>
      </c>
      <c r="AC143" s="186" t="n">
        <f aca="false">IF(AND(ISNUMBER($K143),ISNUMBER($L143),ISNUMBER($Q143)),IF(OR($Q143&lt;MIN($K143,$L143),$Q143&gt;MAX($K143,$L143)),1,0),0)</f>
        <v>0</v>
      </c>
      <c r="AD143" s="186" t="n">
        <f aca="false">IF(AND(ISNUMBER($T143),$P143="高"),IF($T143=3,1,0),0)</f>
        <v>0</v>
      </c>
      <c r="AE143" s="186" t="n">
        <f aca="false">IF($S143="不存在",1,0)</f>
        <v>0</v>
      </c>
      <c r="AF143" s="35" t="n">
        <f aca="false">IF(OR($H143="—",$H143=""),"—",MATCH($H143,IDX_SrcID,0))</f>
        <v>50</v>
      </c>
      <c r="AG143" s="104" t="n">
        <f aca="false">IF(AND($P143="高",OR($AD143=1,$X143=1)),1,0)</f>
        <v>0</v>
      </c>
      <c r="AH143" s="104" t="n">
        <f aca="false">IF(AND($P143="高",$AG143=0,OR($F143&lt;&gt;"原始數據",$T143&lt;&gt;1)),1,0)</f>
        <v>0</v>
      </c>
      <c r="AI143" s="53" t="str">
        <f aca="false">IF(AND($P143="高",ISNUMBER($AF143)),INDEX(IDX_SrcDate,$AF143),"—")</f>
        <v>—</v>
      </c>
      <c r="AJ143" s="104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6" t="s">
        <v>3569</v>
      </c>
      <c r="B144" s="215" t="s">
        <v>3183</v>
      </c>
      <c r="C144" s="36" t="s">
        <v>3341</v>
      </c>
      <c r="D144" s="36" t="s">
        <v>3570</v>
      </c>
      <c r="E144" s="19" t="s">
        <v>3571</v>
      </c>
      <c r="F144" s="36" t="s">
        <v>80</v>
      </c>
      <c r="G144" s="215" t="s">
        <v>3185</v>
      </c>
      <c r="H144" s="36" t="s">
        <v>587</v>
      </c>
      <c r="I144" s="6" t="s">
        <v>587</v>
      </c>
      <c r="J144" s="36" t="s">
        <v>587</v>
      </c>
      <c r="K144" s="217" t="n">
        <v>1</v>
      </c>
      <c r="L144" s="217" t="n">
        <v>2</v>
      </c>
      <c r="M144" s="36" t="s">
        <v>3572</v>
      </c>
      <c r="N144" s="19" t="s">
        <v>3573</v>
      </c>
      <c r="O144" s="6" t="s">
        <v>3574</v>
      </c>
      <c r="P144" s="215" t="s">
        <v>3244</v>
      </c>
      <c r="Q144" s="175" t="n">
        <f aca="false">Spec_Rack!C31</f>
        <v>1</v>
      </c>
      <c r="R144" s="36" t="s">
        <v>587</v>
      </c>
      <c r="S144" s="35" t="str">
        <f aca="false">IF(ISNUMBER($AF144),INDEX(IDX_SrcStat,$AF144),"—")</f>
        <v>—</v>
      </c>
      <c r="T144" s="35" t="str">
        <f aca="false">IF(ISNUMBER($AF144),INDEX(IDX_SrcGrade,$AF144),"—")</f>
        <v>—</v>
      </c>
      <c r="U144" s="35" t="s">
        <v>3189</v>
      </c>
      <c r="V144" s="186" t="n">
        <f aca="false">IF(AND($F144="原始數據",$U144&lt;&gt;"連結 SRC"),1,0)</f>
        <v>0</v>
      </c>
      <c r="W144" s="186" t="n">
        <f aca="false">IF(AND($F144="Analogy",OR($H144="—",$H144="")),1,0)</f>
        <v>0</v>
      </c>
      <c r="X144" s="186" t="n">
        <f aca="false">IF(AND(OR($F144="Analogy",$F144="Assumed"),$G144&lt;&gt;"低",$G144&lt;&gt;"高",NOT(ISNUMBER($K144)),NOT(ISNUMBER($L144)),OR($M144="—",$M144="")),1,0)</f>
        <v>0</v>
      </c>
      <c r="Y144" s="186" t="n">
        <f aca="false">IF(AND(OR($F144="Analogy",$F144="Assumed",$F144="Derived（待改公式）",$F144="Derived（公式）"),OR($N144="—",$N144="",$N144=0)),1,0)</f>
        <v>0</v>
      </c>
      <c r="Z144" s="186" t="n">
        <f aca="false">IF(AND($F144="Decision",OR($J144="—",$J144="")),1,0)</f>
        <v>0</v>
      </c>
      <c r="AA144" s="183" t="n">
        <f aca="false">IF(OR($J144="—",$J144=""),0,IF(COUNTIF(Decisions!$A$5:$A$300,$J144)=0,1,0))</f>
        <v>0</v>
      </c>
      <c r="AB144" s="186" t="n">
        <f aca="false">IF(AND($F144="原始數據",$S144&lt;&gt;"Active"),1,0)</f>
        <v>0</v>
      </c>
      <c r="AC144" s="186" t="n">
        <f aca="false">IF(AND(ISNUMBER($K144),ISNUMBER($L144),ISNUMBER($Q144)),IF(OR($Q144&lt;MIN($K144,$L144),$Q144&gt;MAX($K144,$L144)),1,0),0)</f>
        <v>0</v>
      </c>
      <c r="AD144" s="186" t="n">
        <f aca="false">IF(AND(ISNUMBER($T144),$P144="高"),IF($T144=3,1,0),0)</f>
        <v>0</v>
      </c>
      <c r="AE144" s="186" t="n">
        <f aca="false">IF($S144="不存在",1,0)</f>
        <v>0</v>
      </c>
      <c r="AF144" s="35" t="str">
        <f aca="false">IF(OR($H144="—",$H144=""),"—",MATCH($H144,IDX_SrcID,0))</f>
        <v>—</v>
      </c>
      <c r="AG144" s="104" t="n">
        <f aca="false">IF(AND($P144="高",OR($AD144=1,$X144=1)),1,0)</f>
        <v>0</v>
      </c>
      <c r="AH144" s="104" t="n">
        <f aca="false">IF(AND($P144="高",$AG144=0,OR($F144&lt;&gt;"原始數據",$T144&lt;&gt;1)),1,0)</f>
        <v>0</v>
      </c>
      <c r="AI144" s="53" t="str">
        <f aca="false">IF(AND($P144="高",ISNUMBER($AF144)),INDEX(IDX_SrcDate,$AF144),"—")</f>
        <v>—</v>
      </c>
      <c r="AJ144" s="104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6" t="s">
        <v>3575</v>
      </c>
      <c r="B145" s="215" t="s">
        <v>3183</v>
      </c>
      <c r="C145" s="36" t="s">
        <v>3341</v>
      </c>
      <c r="D145" s="36" t="s">
        <v>3287</v>
      </c>
      <c r="E145" s="19" t="s">
        <v>3571</v>
      </c>
      <c r="F145" s="36" t="s">
        <v>80</v>
      </c>
      <c r="G145" s="215" t="s">
        <v>3185</v>
      </c>
      <c r="H145" s="36" t="s">
        <v>587</v>
      </c>
      <c r="I145" s="6" t="s">
        <v>587</v>
      </c>
      <c r="J145" s="36" t="s">
        <v>587</v>
      </c>
      <c r="K145" s="217" t="n">
        <v>1</v>
      </c>
      <c r="L145" s="217" t="n">
        <v>2</v>
      </c>
      <c r="M145" s="36" t="s">
        <v>3572</v>
      </c>
      <c r="N145" s="19" t="s">
        <v>3573</v>
      </c>
      <c r="O145" s="6" t="s">
        <v>3574</v>
      </c>
      <c r="P145" s="215" t="s">
        <v>3244</v>
      </c>
      <c r="Q145" s="175" t="n">
        <f aca="false">Spec_Rack!D31</f>
        <v>1</v>
      </c>
      <c r="R145" s="36" t="s">
        <v>587</v>
      </c>
      <c r="S145" s="35" t="str">
        <f aca="false">IF(ISNUMBER($AF145),INDEX(IDX_SrcStat,$AF145),"—")</f>
        <v>—</v>
      </c>
      <c r="T145" s="35" t="str">
        <f aca="false">IF(ISNUMBER($AF145),INDEX(IDX_SrcGrade,$AF145),"—")</f>
        <v>—</v>
      </c>
      <c r="U145" s="35" t="s">
        <v>3189</v>
      </c>
      <c r="V145" s="186" t="n">
        <f aca="false">IF(AND($F145="原始數據",$U145&lt;&gt;"連結 SRC"),1,0)</f>
        <v>0</v>
      </c>
      <c r="W145" s="186" t="n">
        <f aca="false">IF(AND($F145="Analogy",OR($H145="—",$H145="")),1,0)</f>
        <v>0</v>
      </c>
      <c r="X145" s="186" t="n">
        <f aca="false">IF(AND(OR($F145="Analogy",$F145="Assumed"),$G145&lt;&gt;"低",$G145&lt;&gt;"高",NOT(ISNUMBER($K145)),NOT(ISNUMBER($L145)),OR($M145="—",$M145="")),1,0)</f>
        <v>0</v>
      </c>
      <c r="Y145" s="186" t="n">
        <f aca="false">IF(AND(OR($F145="Analogy",$F145="Assumed",$F145="Derived（待改公式）",$F145="Derived（公式）"),OR($N145="—",$N145="",$N145=0)),1,0)</f>
        <v>0</v>
      </c>
      <c r="Z145" s="186" t="n">
        <f aca="false">IF(AND($F145="Decision",OR($J145="—",$J145="")),1,0)</f>
        <v>0</v>
      </c>
      <c r="AA145" s="183" t="n">
        <f aca="false">IF(OR($J145="—",$J145=""),0,IF(COUNTIF(Decisions!$A$5:$A$300,$J145)=0,1,0))</f>
        <v>0</v>
      </c>
      <c r="AB145" s="186" t="n">
        <f aca="false">IF(AND($F145="原始數據",$S145&lt;&gt;"Active"),1,0)</f>
        <v>0</v>
      </c>
      <c r="AC145" s="186" t="n">
        <f aca="false">IF(AND(ISNUMBER($K145),ISNUMBER($L145),ISNUMBER($Q145)),IF(OR($Q145&lt;MIN($K145,$L145),$Q145&gt;MAX($K145,$L145)),1,0),0)</f>
        <v>0</v>
      </c>
      <c r="AD145" s="186" t="n">
        <f aca="false">IF(AND(ISNUMBER($T145),$P145="高"),IF($T145=3,1,0),0)</f>
        <v>0</v>
      </c>
      <c r="AE145" s="186" t="n">
        <f aca="false">IF($S145="不存在",1,0)</f>
        <v>0</v>
      </c>
      <c r="AF145" s="35" t="str">
        <f aca="false">IF(OR($H145="—",$H145=""),"—",MATCH($H145,IDX_SrcID,0))</f>
        <v>—</v>
      </c>
      <c r="AG145" s="104" t="n">
        <f aca="false">IF(AND($P145="高",OR($AD145=1,$X145=1)),1,0)</f>
        <v>0</v>
      </c>
      <c r="AH145" s="104" t="n">
        <f aca="false">IF(AND($P145="高",$AG145=0,OR($F145&lt;&gt;"原始數據",$T145&lt;&gt;1)),1,0)</f>
        <v>0</v>
      </c>
      <c r="AI145" s="53" t="str">
        <f aca="false">IF(AND($P145="高",ISNUMBER($AF145)),INDEX(IDX_SrcDate,$AF145),"—")</f>
        <v>—</v>
      </c>
      <c r="AJ145" s="104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6" t="s">
        <v>3576</v>
      </c>
      <c r="B146" s="215" t="s">
        <v>3183</v>
      </c>
      <c r="C146" s="36" t="s">
        <v>3341</v>
      </c>
      <c r="D146" s="36" t="s">
        <v>3284</v>
      </c>
      <c r="E146" s="19" t="s">
        <v>3571</v>
      </c>
      <c r="F146" s="36" t="s">
        <v>80</v>
      </c>
      <c r="G146" s="215" t="s">
        <v>3185</v>
      </c>
      <c r="H146" s="36" t="s">
        <v>587</v>
      </c>
      <c r="I146" s="6" t="s">
        <v>587</v>
      </c>
      <c r="J146" s="36" t="s">
        <v>587</v>
      </c>
      <c r="K146" s="217" t="n">
        <v>1</v>
      </c>
      <c r="L146" s="217" t="n">
        <v>2</v>
      </c>
      <c r="M146" s="36" t="s">
        <v>3572</v>
      </c>
      <c r="N146" s="19" t="s">
        <v>3573</v>
      </c>
      <c r="O146" s="6" t="s">
        <v>3574</v>
      </c>
      <c r="P146" s="215" t="s">
        <v>3244</v>
      </c>
      <c r="Q146" s="175" t="n">
        <f aca="false">Spec_Rack!E31</f>
        <v>1</v>
      </c>
      <c r="R146" s="36" t="s">
        <v>587</v>
      </c>
      <c r="S146" s="35" t="str">
        <f aca="false">IF(ISNUMBER($AF146),INDEX(IDX_SrcStat,$AF146),"—")</f>
        <v>—</v>
      </c>
      <c r="T146" s="35" t="str">
        <f aca="false">IF(ISNUMBER($AF146),INDEX(IDX_SrcGrade,$AF146),"—")</f>
        <v>—</v>
      </c>
      <c r="U146" s="35" t="s">
        <v>3189</v>
      </c>
      <c r="V146" s="186" t="n">
        <f aca="false">IF(AND($F146="原始數據",$U146&lt;&gt;"連結 SRC"),1,0)</f>
        <v>0</v>
      </c>
      <c r="W146" s="186" t="n">
        <f aca="false">IF(AND($F146="Analogy",OR($H146="—",$H146="")),1,0)</f>
        <v>0</v>
      </c>
      <c r="X146" s="186" t="n">
        <f aca="false">IF(AND(OR($F146="Analogy",$F146="Assumed"),$G146&lt;&gt;"低",$G146&lt;&gt;"高",NOT(ISNUMBER($K146)),NOT(ISNUMBER($L146)),OR($M146="—",$M146="")),1,0)</f>
        <v>0</v>
      </c>
      <c r="Y146" s="186" t="n">
        <f aca="false">IF(AND(OR($F146="Analogy",$F146="Assumed",$F146="Derived（待改公式）",$F146="Derived（公式）"),OR($N146="—",$N146="",$N146=0)),1,0)</f>
        <v>0</v>
      </c>
      <c r="Z146" s="186" t="n">
        <f aca="false">IF(AND($F146="Decision",OR($J146="—",$J146="")),1,0)</f>
        <v>0</v>
      </c>
      <c r="AA146" s="183" t="n">
        <f aca="false">IF(OR($J146="—",$J146=""),0,IF(COUNTIF(Decisions!$A$5:$A$300,$J146)=0,1,0))</f>
        <v>0</v>
      </c>
      <c r="AB146" s="186" t="n">
        <f aca="false">IF(AND($F146="原始數據",$S146&lt;&gt;"Active"),1,0)</f>
        <v>0</v>
      </c>
      <c r="AC146" s="186" t="n">
        <f aca="false">IF(AND(ISNUMBER($K146),ISNUMBER($L146),ISNUMBER($Q146)),IF(OR($Q146&lt;MIN($K146,$L146),$Q146&gt;MAX($K146,$L146)),1,0),0)</f>
        <v>0</v>
      </c>
      <c r="AD146" s="186" t="n">
        <f aca="false">IF(AND(ISNUMBER($T146),$P146="高"),IF($T146=3,1,0),0)</f>
        <v>0</v>
      </c>
      <c r="AE146" s="186" t="n">
        <f aca="false">IF($S146="不存在",1,0)</f>
        <v>0</v>
      </c>
      <c r="AF146" s="35" t="str">
        <f aca="false">IF(OR($H146="—",$H146=""),"—",MATCH($H146,IDX_SrcID,0))</f>
        <v>—</v>
      </c>
      <c r="AG146" s="104" t="n">
        <f aca="false">IF(AND($P146="高",OR($AD146=1,$X146=1)),1,0)</f>
        <v>0</v>
      </c>
      <c r="AH146" s="104" t="n">
        <f aca="false">IF(AND($P146="高",$AG146=0,OR($F146&lt;&gt;"原始數據",$T146&lt;&gt;1)),1,0)</f>
        <v>0</v>
      </c>
      <c r="AI146" s="53" t="str">
        <f aca="false">IF(AND($P146="高",ISNUMBER($AF146)),INDEX(IDX_SrcDate,$AF146),"—")</f>
        <v>—</v>
      </c>
      <c r="AJ146" s="104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6" t="s">
        <v>3577</v>
      </c>
      <c r="B147" s="215" t="s">
        <v>3183</v>
      </c>
      <c r="C147" s="36" t="s">
        <v>3341</v>
      </c>
      <c r="D147" s="36" t="s">
        <v>3289</v>
      </c>
      <c r="E147" s="19" t="s">
        <v>3571</v>
      </c>
      <c r="F147" s="36" t="s">
        <v>80</v>
      </c>
      <c r="G147" s="215" t="s">
        <v>3185</v>
      </c>
      <c r="H147" s="36" t="s">
        <v>587</v>
      </c>
      <c r="I147" s="6" t="s">
        <v>587</v>
      </c>
      <c r="J147" s="36" t="s">
        <v>587</v>
      </c>
      <c r="K147" s="217" t="n">
        <v>1</v>
      </c>
      <c r="L147" s="217" t="n">
        <v>2</v>
      </c>
      <c r="M147" s="36" t="s">
        <v>3572</v>
      </c>
      <c r="N147" s="19" t="s">
        <v>3573</v>
      </c>
      <c r="O147" s="6" t="s">
        <v>3574</v>
      </c>
      <c r="P147" s="215" t="s">
        <v>3244</v>
      </c>
      <c r="Q147" s="175" t="n">
        <f aca="false">Spec_Rack!F31</f>
        <v>1</v>
      </c>
      <c r="R147" s="36" t="s">
        <v>587</v>
      </c>
      <c r="S147" s="35" t="str">
        <f aca="false">IF(ISNUMBER($AF147),INDEX(IDX_SrcStat,$AF147),"—")</f>
        <v>—</v>
      </c>
      <c r="T147" s="35" t="str">
        <f aca="false">IF(ISNUMBER($AF147),INDEX(IDX_SrcGrade,$AF147),"—")</f>
        <v>—</v>
      </c>
      <c r="U147" s="35" t="s">
        <v>3189</v>
      </c>
      <c r="V147" s="186" t="n">
        <f aca="false">IF(AND($F147="原始數據",$U147&lt;&gt;"連結 SRC"),1,0)</f>
        <v>0</v>
      </c>
      <c r="W147" s="186" t="n">
        <f aca="false">IF(AND($F147="Analogy",OR($H147="—",$H147="")),1,0)</f>
        <v>0</v>
      </c>
      <c r="X147" s="186" t="n">
        <f aca="false">IF(AND(OR($F147="Analogy",$F147="Assumed"),$G147&lt;&gt;"低",$G147&lt;&gt;"高",NOT(ISNUMBER($K147)),NOT(ISNUMBER($L147)),OR($M147="—",$M147="")),1,0)</f>
        <v>0</v>
      </c>
      <c r="Y147" s="186" t="n">
        <f aca="false">IF(AND(OR($F147="Analogy",$F147="Assumed",$F147="Derived（待改公式）",$F147="Derived（公式）"),OR($N147="—",$N147="",$N147=0)),1,0)</f>
        <v>0</v>
      </c>
      <c r="Z147" s="186" t="n">
        <f aca="false">IF(AND($F147="Decision",OR($J147="—",$J147="")),1,0)</f>
        <v>0</v>
      </c>
      <c r="AA147" s="183" t="n">
        <f aca="false">IF(OR($J147="—",$J147=""),0,IF(COUNTIF(Decisions!$A$5:$A$300,$J147)=0,1,0))</f>
        <v>0</v>
      </c>
      <c r="AB147" s="186" t="n">
        <f aca="false">IF(AND($F147="原始數據",$S147&lt;&gt;"Active"),1,0)</f>
        <v>0</v>
      </c>
      <c r="AC147" s="186" t="n">
        <f aca="false">IF(AND(ISNUMBER($K147),ISNUMBER($L147),ISNUMBER($Q147)),IF(OR($Q147&lt;MIN($K147,$L147),$Q147&gt;MAX($K147,$L147)),1,0),0)</f>
        <v>0</v>
      </c>
      <c r="AD147" s="186" t="n">
        <f aca="false">IF(AND(ISNUMBER($T147),$P147="高"),IF($T147=3,1,0),0)</f>
        <v>0</v>
      </c>
      <c r="AE147" s="186" t="n">
        <f aca="false">IF($S147="不存在",1,0)</f>
        <v>0</v>
      </c>
      <c r="AF147" s="35" t="str">
        <f aca="false">IF(OR($H147="—",$H147=""),"—",MATCH($H147,IDX_SrcID,0))</f>
        <v>—</v>
      </c>
      <c r="AG147" s="104" t="n">
        <f aca="false">IF(AND($P147="高",OR($AD147=1,$X147=1)),1,0)</f>
        <v>0</v>
      </c>
      <c r="AH147" s="104" t="n">
        <f aca="false">IF(AND($P147="高",$AG147=0,OR($F147&lt;&gt;"原始數據",$T147&lt;&gt;1)),1,0)</f>
        <v>0</v>
      </c>
      <c r="AI147" s="53" t="str">
        <f aca="false">IF(AND($P147="高",ISNUMBER($AF147)),INDEX(IDX_SrcDate,$AF147),"—")</f>
        <v>—</v>
      </c>
      <c r="AJ147" s="104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6" t="s">
        <v>3578</v>
      </c>
      <c r="B148" s="215" t="s">
        <v>3183</v>
      </c>
      <c r="C148" s="36" t="s">
        <v>3341</v>
      </c>
      <c r="D148" s="36" t="s">
        <v>3579</v>
      </c>
      <c r="E148" s="19" t="s">
        <v>3571</v>
      </c>
      <c r="F148" s="36" t="s">
        <v>80</v>
      </c>
      <c r="G148" s="215" t="s">
        <v>3185</v>
      </c>
      <c r="H148" s="36" t="s">
        <v>587</v>
      </c>
      <c r="I148" s="6" t="s">
        <v>587</v>
      </c>
      <c r="J148" s="36" t="s">
        <v>587</v>
      </c>
      <c r="K148" s="217" t="n">
        <v>1</v>
      </c>
      <c r="L148" s="217" t="n">
        <v>2</v>
      </c>
      <c r="M148" s="36" t="s">
        <v>3572</v>
      </c>
      <c r="N148" s="19" t="s">
        <v>3573</v>
      </c>
      <c r="O148" s="6" t="s">
        <v>3574</v>
      </c>
      <c r="P148" s="215" t="s">
        <v>3244</v>
      </c>
      <c r="Q148" s="175" t="n">
        <f aca="false">Spec_Rack!G31</f>
        <v>1</v>
      </c>
      <c r="R148" s="36" t="s">
        <v>587</v>
      </c>
      <c r="S148" s="35" t="str">
        <f aca="false">IF(ISNUMBER($AF148),INDEX(IDX_SrcStat,$AF148),"—")</f>
        <v>—</v>
      </c>
      <c r="T148" s="35" t="str">
        <f aca="false">IF(ISNUMBER($AF148),INDEX(IDX_SrcGrade,$AF148),"—")</f>
        <v>—</v>
      </c>
      <c r="U148" s="35" t="s">
        <v>3189</v>
      </c>
      <c r="V148" s="186" t="n">
        <f aca="false">IF(AND($F148="原始數據",$U148&lt;&gt;"連結 SRC"),1,0)</f>
        <v>0</v>
      </c>
      <c r="W148" s="186" t="n">
        <f aca="false">IF(AND($F148="Analogy",OR($H148="—",$H148="")),1,0)</f>
        <v>0</v>
      </c>
      <c r="X148" s="186" t="n">
        <f aca="false">IF(AND(OR($F148="Analogy",$F148="Assumed"),$G148&lt;&gt;"低",$G148&lt;&gt;"高",NOT(ISNUMBER($K148)),NOT(ISNUMBER($L148)),OR($M148="—",$M148="")),1,0)</f>
        <v>0</v>
      </c>
      <c r="Y148" s="186" t="n">
        <f aca="false">IF(AND(OR($F148="Analogy",$F148="Assumed",$F148="Derived（待改公式）",$F148="Derived（公式）"),OR($N148="—",$N148="",$N148=0)),1,0)</f>
        <v>0</v>
      </c>
      <c r="Z148" s="186" t="n">
        <f aca="false">IF(AND($F148="Decision",OR($J148="—",$J148="")),1,0)</f>
        <v>0</v>
      </c>
      <c r="AA148" s="183" t="n">
        <f aca="false">IF(OR($J148="—",$J148=""),0,IF(COUNTIF(Decisions!$A$5:$A$300,$J148)=0,1,0))</f>
        <v>0</v>
      </c>
      <c r="AB148" s="186" t="n">
        <f aca="false">IF(AND($F148="原始數據",$S148&lt;&gt;"Active"),1,0)</f>
        <v>0</v>
      </c>
      <c r="AC148" s="186" t="n">
        <f aca="false">IF(AND(ISNUMBER($K148),ISNUMBER($L148),ISNUMBER($Q148)),IF(OR($Q148&lt;MIN($K148,$L148),$Q148&gt;MAX($K148,$L148)),1,0),0)</f>
        <v>0</v>
      </c>
      <c r="AD148" s="186" t="n">
        <f aca="false">IF(AND(ISNUMBER($T148),$P148="高"),IF($T148=3,1,0),0)</f>
        <v>0</v>
      </c>
      <c r="AE148" s="186" t="n">
        <f aca="false">IF($S148="不存在",1,0)</f>
        <v>0</v>
      </c>
      <c r="AF148" s="35" t="str">
        <f aca="false">IF(OR($H148="—",$H148=""),"—",MATCH($H148,IDX_SrcID,0))</f>
        <v>—</v>
      </c>
      <c r="AG148" s="104" t="n">
        <f aca="false">IF(AND($P148="高",OR($AD148=1,$X148=1)),1,0)</f>
        <v>0</v>
      </c>
      <c r="AH148" s="104" t="n">
        <f aca="false">IF(AND($P148="高",$AG148=0,OR($F148&lt;&gt;"原始數據",$T148&lt;&gt;1)),1,0)</f>
        <v>0</v>
      </c>
      <c r="AI148" s="53" t="str">
        <f aca="false">IF(AND($P148="高",ISNUMBER($AF148)),INDEX(IDX_SrcDate,$AF148),"—")</f>
        <v>—</v>
      </c>
      <c r="AJ148" s="104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6" t="s">
        <v>3580</v>
      </c>
      <c r="B149" s="215" t="s">
        <v>3183</v>
      </c>
      <c r="C149" s="36" t="s">
        <v>3341</v>
      </c>
      <c r="D149" s="36" t="s">
        <v>3581</v>
      </c>
      <c r="E149" s="19" t="s">
        <v>3582</v>
      </c>
      <c r="F149" s="36" t="s">
        <v>80</v>
      </c>
      <c r="G149" s="215" t="s">
        <v>3185</v>
      </c>
      <c r="H149" s="36" t="s">
        <v>587</v>
      </c>
      <c r="I149" s="6" t="s">
        <v>587</v>
      </c>
      <c r="J149" s="36" t="s">
        <v>587</v>
      </c>
      <c r="K149" s="217" t="n">
        <v>4</v>
      </c>
      <c r="L149" s="217" t="n">
        <v>16</v>
      </c>
      <c r="M149" s="36" t="s">
        <v>3583</v>
      </c>
      <c r="N149" s="6" t="s">
        <v>3584</v>
      </c>
      <c r="O149" s="6" t="s">
        <v>587</v>
      </c>
      <c r="P149" s="215" t="s">
        <v>3188</v>
      </c>
      <c r="Q149" s="41" t="n">
        <f aca="false">Spec_Rack!C32</f>
        <v>8</v>
      </c>
      <c r="R149" s="36" t="s">
        <v>587</v>
      </c>
      <c r="S149" s="35" t="str">
        <f aca="false">IF(ISNUMBER($AF149),INDEX(IDX_SrcStat,$AF149),"—")</f>
        <v>—</v>
      </c>
      <c r="T149" s="35" t="str">
        <f aca="false">IF(ISNUMBER($AF149),INDEX(IDX_SrcGrade,$AF149),"—")</f>
        <v>—</v>
      </c>
      <c r="U149" s="35" t="s">
        <v>3189</v>
      </c>
      <c r="V149" s="186" t="n">
        <f aca="false">IF(AND($F149="原始數據",$U149&lt;&gt;"連結 SRC"),1,0)</f>
        <v>0</v>
      </c>
      <c r="W149" s="186" t="n">
        <f aca="false">IF(AND($F149="Analogy",OR($H149="—",$H149="")),1,0)</f>
        <v>0</v>
      </c>
      <c r="X149" s="186" t="n">
        <f aca="false">IF(AND(OR($F149="Analogy",$F149="Assumed"),$G149&lt;&gt;"低",$G149&lt;&gt;"高",NOT(ISNUMBER($K149)),NOT(ISNUMBER($L149)),OR($M149="—",$M149="")),1,0)</f>
        <v>0</v>
      </c>
      <c r="Y149" s="186" t="n">
        <f aca="false">IF(AND(OR($F149="Analogy",$F149="Assumed",$F149="Derived（待改公式）",$F149="Derived（公式）"),OR($N149="—",$N149="",$N149=0)),1,0)</f>
        <v>0</v>
      </c>
      <c r="Z149" s="186" t="n">
        <f aca="false">IF(AND($F149="Decision",OR($J149="—",$J149="")),1,0)</f>
        <v>0</v>
      </c>
      <c r="AA149" s="183" t="n">
        <f aca="false">IF(OR($J149="—",$J149=""),0,IF(COUNTIF(Decisions!$A$5:$A$300,$J149)=0,1,0))</f>
        <v>0</v>
      </c>
      <c r="AB149" s="186" t="n">
        <f aca="false">IF(AND($F149="原始數據",$S149&lt;&gt;"Active"),1,0)</f>
        <v>0</v>
      </c>
      <c r="AC149" s="186" t="n">
        <f aca="false">IF(AND(ISNUMBER($K149),ISNUMBER($L149),ISNUMBER($Q149)),IF(OR($Q149&lt;MIN($K149,$L149),$Q149&gt;MAX($K149,$L149)),1,0),0)</f>
        <v>0</v>
      </c>
      <c r="AD149" s="186" t="n">
        <f aca="false">IF(AND(ISNUMBER($T149),$P149="高"),IF($T149=3,1,0),0)</f>
        <v>0</v>
      </c>
      <c r="AE149" s="186" t="n">
        <f aca="false">IF($S149="不存在",1,0)</f>
        <v>0</v>
      </c>
      <c r="AF149" s="35" t="str">
        <f aca="false">IF(OR($H149="—",$H149=""),"—",MATCH($H149,IDX_SrcID,0))</f>
        <v>—</v>
      </c>
      <c r="AG149" s="104" t="n">
        <f aca="false">IF(AND($P149="高",OR($AD149=1,$X149=1)),1,0)</f>
        <v>0</v>
      </c>
      <c r="AH149" s="104" t="n">
        <f aca="false">IF(AND($P149="高",$AG149=0,OR($F149&lt;&gt;"原始數據",$T149&lt;&gt;1)),1,0)</f>
        <v>0</v>
      </c>
      <c r="AI149" s="53" t="str">
        <f aca="false">IF(AND($P149="高",ISNUMBER($AF149)),INDEX(IDX_SrcDate,$AF149),"—")</f>
        <v>—</v>
      </c>
      <c r="AJ149" s="104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6" t="s">
        <v>3585</v>
      </c>
      <c r="B150" s="215" t="s">
        <v>3183</v>
      </c>
      <c r="C150" s="36" t="s">
        <v>3341</v>
      </c>
      <c r="D150" s="36" t="s">
        <v>3293</v>
      </c>
      <c r="E150" s="19" t="s">
        <v>3582</v>
      </c>
      <c r="F150" s="36" t="s">
        <v>84</v>
      </c>
      <c r="G150" s="215" t="s">
        <v>3185</v>
      </c>
      <c r="H150" s="36" t="s">
        <v>3586</v>
      </c>
      <c r="I150" s="19" t="s">
        <v>3587</v>
      </c>
      <c r="J150" s="36" t="s">
        <v>587</v>
      </c>
      <c r="K150" s="217" t="n">
        <v>2</v>
      </c>
      <c r="L150" s="217" t="n">
        <v>8</v>
      </c>
      <c r="M150" s="36" t="s">
        <v>3588</v>
      </c>
      <c r="N150" s="6" t="s">
        <v>3589</v>
      </c>
      <c r="O150" s="6" t="s">
        <v>587</v>
      </c>
      <c r="P150" s="215" t="s">
        <v>3188</v>
      </c>
      <c r="Q150" s="41" t="n">
        <f aca="false">Spec_Rack!D32</f>
        <v>4</v>
      </c>
      <c r="R150" s="185" t="n">
        <f aca="false">SRC_PERF_007</f>
        <v>4</v>
      </c>
      <c r="S150" s="35" t="str">
        <f aca="false">IF(ISNUMBER($AF150),INDEX(IDX_SrcStat,$AF150),"—")</f>
        <v>Active</v>
      </c>
      <c r="T150" s="35" t="n">
        <f aca="false">IF(ISNUMBER($AF150),INDEX(IDX_SrcGrade,$AF150),"—")</f>
        <v>1</v>
      </c>
      <c r="U150" s="35" t="s">
        <v>3189</v>
      </c>
      <c r="V150" s="186" t="n">
        <f aca="false">IF(AND($F150="原始數據",$U150&lt;&gt;"連結 SRC"),1,0)</f>
        <v>0</v>
      </c>
      <c r="W150" s="186" t="n">
        <f aca="false">IF(AND($F150="Analogy",OR($H150="—",$H150="")),1,0)</f>
        <v>0</v>
      </c>
      <c r="X150" s="186" t="n">
        <f aca="false">IF(AND(OR($F150="Analogy",$F150="Assumed"),$G150&lt;&gt;"低",$G150&lt;&gt;"高",NOT(ISNUMBER($K150)),NOT(ISNUMBER($L150)),OR($M150="—",$M150="")),1,0)</f>
        <v>0</v>
      </c>
      <c r="Y150" s="186" t="n">
        <f aca="false">IF(AND(OR($F150="Analogy",$F150="Assumed",$F150="Derived（待改公式）",$F150="Derived（公式）"),OR($N150="—",$N150="",$N150=0)),1,0)</f>
        <v>0</v>
      </c>
      <c r="Z150" s="186" t="n">
        <f aca="false">IF(AND($F150="Decision",OR($J150="—",$J150="")),1,0)</f>
        <v>0</v>
      </c>
      <c r="AA150" s="183" t="n">
        <f aca="false">IF(OR($J150="—",$J150=""),0,IF(COUNTIF(Decisions!$A$5:$A$300,$J150)=0,1,0))</f>
        <v>0</v>
      </c>
      <c r="AB150" s="186" t="n">
        <f aca="false">IF(AND($F150="原始數據",$S150&lt;&gt;"Active"),1,0)</f>
        <v>0</v>
      </c>
      <c r="AC150" s="186" t="n">
        <f aca="false">IF(AND(ISNUMBER($K150),ISNUMBER($L150),ISNUMBER($Q150)),IF(OR($Q150&lt;MIN($K150,$L150),$Q150&gt;MAX($K150,$L150)),1,0),0)</f>
        <v>0</v>
      </c>
      <c r="AD150" s="186" t="n">
        <f aca="false">IF(AND(ISNUMBER($T150),$P150="高"),IF($T150=3,1,0),0)</f>
        <v>0</v>
      </c>
      <c r="AE150" s="186" t="n">
        <f aca="false">IF($S150="不存在",1,0)</f>
        <v>0</v>
      </c>
      <c r="AF150" s="35" t="n">
        <f aca="false">IF(OR($H150="—",$H150=""),"—",MATCH($H150,IDX_SrcID,0))</f>
        <v>295</v>
      </c>
      <c r="AG150" s="104" t="n">
        <f aca="false">IF(AND($P150="高",OR($AD150=1,$X150=1)),1,0)</f>
        <v>0</v>
      </c>
      <c r="AH150" s="104" t="n">
        <f aca="false">IF(AND($P150="高",$AG150=0,OR($F150&lt;&gt;"原始數據",$T150&lt;&gt;1)),1,0)</f>
        <v>0</v>
      </c>
      <c r="AI150" s="53" t="str">
        <f aca="false">IF(AND($P150="高",ISNUMBER($AF150)),INDEX(IDX_SrcDate,$AF150),"—")</f>
        <v>—</v>
      </c>
      <c r="AJ150" s="104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6" t="s">
        <v>3590</v>
      </c>
      <c r="B151" s="215" t="s">
        <v>3183</v>
      </c>
      <c r="C151" s="36" t="s">
        <v>3341</v>
      </c>
      <c r="D151" s="36" t="s">
        <v>3291</v>
      </c>
      <c r="E151" s="19" t="s">
        <v>3582</v>
      </c>
      <c r="F151" s="215" t="s">
        <v>298</v>
      </c>
      <c r="G151" s="215" t="s">
        <v>3185</v>
      </c>
      <c r="H151" s="36" t="s">
        <v>3586</v>
      </c>
      <c r="I151" s="19" t="s">
        <v>3220</v>
      </c>
      <c r="J151" s="36" t="s">
        <v>587</v>
      </c>
      <c r="K151" s="215"/>
      <c r="L151" s="215"/>
      <c r="M151" s="36" t="s">
        <v>587</v>
      </c>
      <c r="N151" s="19" t="s">
        <v>3318</v>
      </c>
      <c r="O151" s="6" t="s">
        <v>587</v>
      </c>
      <c r="P151" s="215" t="s">
        <v>3188</v>
      </c>
      <c r="Q151" s="41" t="n">
        <f aca="false">Spec_Rack!E32</f>
        <v>4</v>
      </c>
      <c r="R151" s="185" t="n">
        <f aca="false">SRC_PERF_007</f>
        <v>4</v>
      </c>
      <c r="S151" s="35" t="str">
        <f aca="false">IF(ISNUMBER($AF151),INDEX(IDX_SrcStat,$AF151),"—")</f>
        <v>Active</v>
      </c>
      <c r="T151" s="35" t="n">
        <f aca="false">IF(ISNUMBER($AF151),INDEX(IDX_SrcGrade,$AF151),"—")</f>
        <v>1</v>
      </c>
      <c r="U151" s="35" t="s">
        <v>3222</v>
      </c>
      <c r="V151" s="186" t="n">
        <f aca="false">IF(AND($F151="原始數據",$U151&lt;&gt;"連結 SRC"),1,0)</f>
        <v>0</v>
      </c>
      <c r="W151" s="186" t="n">
        <f aca="false">IF(AND($F151="Analogy",OR($H151="—",$H151="")),1,0)</f>
        <v>0</v>
      </c>
      <c r="X151" s="186" t="n">
        <f aca="false">IF(AND(OR($F151="Analogy",$F151="Assumed"),$G151&lt;&gt;"低",$G151&lt;&gt;"高",NOT(ISNUMBER($K151)),NOT(ISNUMBER($L151)),OR($M151="—",$M151="")),1,0)</f>
        <v>0</v>
      </c>
      <c r="Y151" s="186" t="n">
        <f aca="false">IF(AND(OR($F151="Analogy",$F151="Assumed",$F151="Derived（待改公式）",$F151="Derived（公式）"),OR($N151="—",$N151="",$N151=0)),1,0)</f>
        <v>0</v>
      </c>
      <c r="Z151" s="186" t="n">
        <f aca="false">IF(AND($F151="Decision",OR($J151="—",$J151="")),1,0)</f>
        <v>0</v>
      </c>
      <c r="AA151" s="183" t="n">
        <f aca="false">IF(OR($J151="—",$J151=""),0,IF(COUNTIF(Decisions!$A$5:$A$300,$J151)=0,1,0))</f>
        <v>0</v>
      </c>
      <c r="AB151" s="186" t="n">
        <f aca="false">IF(AND($F151="原始數據",$S151&lt;&gt;"Active"),1,0)</f>
        <v>0</v>
      </c>
      <c r="AC151" s="186" t="n">
        <f aca="false">IF(AND(ISNUMBER($K151),ISNUMBER($L151),ISNUMBER($Q151)),IF(OR($Q151&lt;MIN($K151,$L151),$Q151&gt;MAX($K151,$L151)),1,0),0)</f>
        <v>0</v>
      </c>
      <c r="AD151" s="186" t="n">
        <f aca="false">IF(AND(ISNUMBER($T151),$P151="高"),IF($T151=3,1,0),0)</f>
        <v>0</v>
      </c>
      <c r="AE151" s="186" t="n">
        <f aca="false">IF($S151="不存在",1,0)</f>
        <v>0</v>
      </c>
      <c r="AF151" s="35" t="n">
        <f aca="false">IF(OR($H151="—",$H151=""),"—",MATCH($H151,IDX_SrcID,0))</f>
        <v>295</v>
      </c>
      <c r="AG151" s="104" t="n">
        <f aca="false">IF(AND($P151="高",OR($AD151=1,$X151=1)),1,0)</f>
        <v>0</v>
      </c>
      <c r="AH151" s="104" t="n">
        <f aca="false">IF(AND($P151="高",$AG151=0,OR($F151&lt;&gt;"原始數據",$T151&lt;&gt;1)),1,0)</f>
        <v>0</v>
      </c>
      <c r="AI151" s="53" t="str">
        <f aca="false">IF(AND($P151="高",ISNUMBER($AF151)),INDEX(IDX_SrcDate,$AF151),"—")</f>
        <v>—</v>
      </c>
      <c r="AJ151" s="104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6" t="s">
        <v>3591</v>
      </c>
      <c r="B152" s="215" t="s">
        <v>3183</v>
      </c>
      <c r="C152" s="36" t="s">
        <v>3341</v>
      </c>
      <c r="D152" s="36" t="s">
        <v>3295</v>
      </c>
      <c r="E152" s="19" t="s">
        <v>3582</v>
      </c>
      <c r="F152" s="36" t="s">
        <v>84</v>
      </c>
      <c r="G152" s="215" t="s">
        <v>3185</v>
      </c>
      <c r="H152" s="36" t="s">
        <v>3586</v>
      </c>
      <c r="I152" s="19" t="s">
        <v>3587</v>
      </c>
      <c r="J152" s="36" t="s">
        <v>587</v>
      </c>
      <c r="K152" s="217" t="n">
        <v>2</v>
      </c>
      <c r="L152" s="217" t="n">
        <v>8</v>
      </c>
      <c r="M152" s="36" t="s">
        <v>3588</v>
      </c>
      <c r="N152" s="6" t="s">
        <v>3589</v>
      </c>
      <c r="O152" s="6" t="s">
        <v>587</v>
      </c>
      <c r="P152" s="215" t="s">
        <v>3188</v>
      </c>
      <c r="Q152" s="41" t="n">
        <f aca="false">Spec_Rack!F32</f>
        <v>4</v>
      </c>
      <c r="R152" s="185" t="n">
        <f aca="false">SRC_PERF_007</f>
        <v>4</v>
      </c>
      <c r="S152" s="35" t="str">
        <f aca="false">IF(ISNUMBER($AF152),INDEX(IDX_SrcStat,$AF152),"—")</f>
        <v>Active</v>
      </c>
      <c r="T152" s="35" t="n">
        <f aca="false">IF(ISNUMBER($AF152),INDEX(IDX_SrcGrade,$AF152),"—")</f>
        <v>1</v>
      </c>
      <c r="U152" s="35" t="s">
        <v>3189</v>
      </c>
      <c r="V152" s="186" t="n">
        <f aca="false">IF(AND($F152="原始數據",$U152&lt;&gt;"連結 SRC"),1,0)</f>
        <v>0</v>
      </c>
      <c r="W152" s="186" t="n">
        <f aca="false">IF(AND($F152="Analogy",OR($H152="—",$H152="")),1,0)</f>
        <v>0</v>
      </c>
      <c r="X152" s="186" t="n">
        <f aca="false">IF(AND(OR($F152="Analogy",$F152="Assumed"),$G152&lt;&gt;"低",$G152&lt;&gt;"高",NOT(ISNUMBER($K152)),NOT(ISNUMBER($L152)),OR($M152="—",$M152="")),1,0)</f>
        <v>0</v>
      </c>
      <c r="Y152" s="186" t="n">
        <f aca="false">IF(AND(OR($F152="Analogy",$F152="Assumed",$F152="Derived（待改公式）",$F152="Derived（公式）"),OR($N152="—",$N152="",$N152=0)),1,0)</f>
        <v>0</v>
      </c>
      <c r="Z152" s="186" t="n">
        <f aca="false">IF(AND($F152="Decision",OR($J152="—",$J152="")),1,0)</f>
        <v>0</v>
      </c>
      <c r="AA152" s="183" t="n">
        <f aca="false">IF(OR($J152="—",$J152=""),0,IF(COUNTIF(Decisions!$A$5:$A$300,$J152)=0,1,0))</f>
        <v>0</v>
      </c>
      <c r="AB152" s="186" t="n">
        <f aca="false">IF(AND($F152="原始數據",$S152&lt;&gt;"Active"),1,0)</f>
        <v>0</v>
      </c>
      <c r="AC152" s="186" t="n">
        <f aca="false">IF(AND(ISNUMBER($K152),ISNUMBER($L152),ISNUMBER($Q152)),IF(OR($Q152&lt;MIN($K152,$L152),$Q152&gt;MAX($K152,$L152)),1,0),0)</f>
        <v>0</v>
      </c>
      <c r="AD152" s="186" t="n">
        <f aca="false">IF(AND(ISNUMBER($T152),$P152="高"),IF($T152=3,1,0),0)</f>
        <v>0</v>
      </c>
      <c r="AE152" s="186" t="n">
        <f aca="false">IF($S152="不存在",1,0)</f>
        <v>0</v>
      </c>
      <c r="AF152" s="35" t="n">
        <f aca="false">IF(OR($H152="—",$H152=""),"—",MATCH($H152,IDX_SrcID,0))</f>
        <v>295</v>
      </c>
      <c r="AG152" s="104" t="n">
        <f aca="false">IF(AND($P152="高",OR($AD152=1,$X152=1)),1,0)</f>
        <v>0</v>
      </c>
      <c r="AH152" s="104" t="n">
        <f aca="false">IF(AND($P152="高",$AG152=0,OR($F152&lt;&gt;"原始數據",$T152&lt;&gt;1)),1,0)</f>
        <v>0</v>
      </c>
      <c r="AI152" s="53" t="str">
        <f aca="false">IF(AND($P152="高",ISNUMBER($AF152)),INDEX(IDX_SrcDate,$AF152),"—")</f>
        <v>—</v>
      </c>
      <c r="AJ152" s="104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6" t="s">
        <v>3592</v>
      </c>
      <c r="B153" s="215" t="s">
        <v>3183</v>
      </c>
      <c r="C153" s="36" t="s">
        <v>3341</v>
      </c>
      <c r="D153" s="36" t="s">
        <v>3593</v>
      </c>
      <c r="E153" s="19" t="s">
        <v>3582</v>
      </c>
      <c r="F153" s="36" t="s">
        <v>80</v>
      </c>
      <c r="G153" s="215" t="s">
        <v>3185</v>
      </c>
      <c r="H153" s="36" t="s">
        <v>587</v>
      </c>
      <c r="I153" s="6" t="s">
        <v>587</v>
      </c>
      <c r="J153" s="36" t="s">
        <v>587</v>
      </c>
      <c r="K153" s="217" t="n">
        <v>4</v>
      </c>
      <c r="L153" s="217" t="n">
        <v>16</v>
      </c>
      <c r="M153" s="36" t="s">
        <v>3583</v>
      </c>
      <c r="N153" s="6" t="s">
        <v>3594</v>
      </c>
      <c r="O153" s="6" t="s">
        <v>587</v>
      </c>
      <c r="P153" s="215" t="s">
        <v>3188</v>
      </c>
      <c r="Q153" s="41" t="n">
        <f aca="false">Spec_Rack!G32</f>
        <v>8</v>
      </c>
      <c r="R153" s="36" t="s">
        <v>587</v>
      </c>
      <c r="S153" s="35" t="str">
        <f aca="false">IF(ISNUMBER($AF153),INDEX(IDX_SrcStat,$AF153),"—")</f>
        <v>—</v>
      </c>
      <c r="T153" s="35" t="str">
        <f aca="false">IF(ISNUMBER($AF153),INDEX(IDX_SrcGrade,$AF153),"—")</f>
        <v>—</v>
      </c>
      <c r="U153" s="35" t="s">
        <v>3189</v>
      </c>
      <c r="V153" s="186" t="n">
        <f aca="false">IF(AND($F153="原始數據",$U153&lt;&gt;"連結 SRC"),1,0)</f>
        <v>0</v>
      </c>
      <c r="W153" s="186" t="n">
        <f aca="false">IF(AND($F153="Analogy",OR($H153="—",$H153="")),1,0)</f>
        <v>0</v>
      </c>
      <c r="X153" s="186" t="n">
        <f aca="false">IF(AND(OR($F153="Analogy",$F153="Assumed"),$G153&lt;&gt;"低",$G153&lt;&gt;"高",NOT(ISNUMBER($K153)),NOT(ISNUMBER($L153)),OR($M153="—",$M153="")),1,0)</f>
        <v>0</v>
      </c>
      <c r="Y153" s="186" t="n">
        <f aca="false">IF(AND(OR($F153="Analogy",$F153="Assumed",$F153="Derived（待改公式）",$F153="Derived（公式）"),OR($N153="—",$N153="",$N153=0)),1,0)</f>
        <v>0</v>
      </c>
      <c r="Z153" s="186" t="n">
        <f aca="false">IF(AND($F153="Decision",OR($J153="—",$J153="")),1,0)</f>
        <v>0</v>
      </c>
      <c r="AA153" s="183" t="n">
        <f aca="false">IF(OR($J153="—",$J153=""),0,IF(COUNTIF(Decisions!$A$5:$A$300,$J153)=0,1,0))</f>
        <v>0</v>
      </c>
      <c r="AB153" s="186" t="n">
        <f aca="false">IF(AND($F153="原始數據",$S153&lt;&gt;"Active"),1,0)</f>
        <v>0</v>
      </c>
      <c r="AC153" s="186" t="n">
        <f aca="false">IF(AND(ISNUMBER($K153),ISNUMBER($L153),ISNUMBER($Q153)),IF(OR($Q153&lt;MIN($K153,$L153),$Q153&gt;MAX($K153,$L153)),1,0),0)</f>
        <v>0</v>
      </c>
      <c r="AD153" s="186" t="n">
        <f aca="false">IF(AND(ISNUMBER($T153),$P153="高"),IF($T153=3,1,0),0)</f>
        <v>0</v>
      </c>
      <c r="AE153" s="186" t="n">
        <f aca="false">IF($S153="不存在",1,0)</f>
        <v>0</v>
      </c>
      <c r="AF153" s="35" t="str">
        <f aca="false">IF(OR($H153="—",$H153=""),"—",MATCH($H153,IDX_SrcID,0))</f>
        <v>—</v>
      </c>
      <c r="AG153" s="104" t="n">
        <f aca="false">IF(AND($P153="高",OR($AD153=1,$X153=1)),1,0)</f>
        <v>0</v>
      </c>
      <c r="AH153" s="104" t="n">
        <f aca="false">IF(AND($P153="高",$AG153=0,OR($F153&lt;&gt;"原始數據",$T153&lt;&gt;1)),1,0)</f>
        <v>0</v>
      </c>
      <c r="AI153" s="53" t="str">
        <f aca="false">IF(AND($P153="高",ISNUMBER($AF153)),INDEX(IDX_SrcDate,$AF153),"—")</f>
        <v>—</v>
      </c>
      <c r="AJ153" s="104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6" t="s">
        <v>3595</v>
      </c>
      <c r="B154" s="215" t="s">
        <v>3183</v>
      </c>
      <c r="C154" s="36" t="s">
        <v>3341</v>
      </c>
      <c r="D154" s="36" t="s">
        <v>3596</v>
      </c>
      <c r="E154" s="6" t="s">
        <v>212</v>
      </c>
      <c r="F154" s="215" t="s">
        <v>298</v>
      </c>
      <c r="G154" s="215" t="s">
        <v>3185</v>
      </c>
      <c r="H154" s="36" t="s">
        <v>3597</v>
      </c>
      <c r="I154" s="19" t="s">
        <v>3220</v>
      </c>
      <c r="J154" s="36" t="s">
        <v>587</v>
      </c>
      <c r="K154" s="215"/>
      <c r="L154" s="215"/>
      <c r="M154" s="36" t="s">
        <v>587</v>
      </c>
      <c r="N154" s="19" t="s">
        <v>3318</v>
      </c>
      <c r="O154" s="6" t="s">
        <v>587</v>
      </c>
      <c r="P154" s="215" t="s">
        <v>3188</v>
      </c>
      <c r="Q154" s="41" t="n">
        <f aca="false">Spec_Rack!C33</f>
        <v>700</v>
      </c>
      <c r="R154" s="185" t="n">
        <f aca="false">SRC_HW_056</f>
        <v>700</v>
      </c>
      <c r="S154" s="35" t="str">
        <f aca="false">IF(ISNUMBER($AF154),INDEX(IDX_SrcStat,$AF154),"—")</f>
        <v>Active</v>
      </c>
      <c r="T154" s="35" t="n">
        <f aca="false">IF(ISNUMBER($AF154),INDEX(IDX_SrcGrade,$AF154),"—")</f>
        <v>3</v>
      </c>
      <c r="U154" s="35" t="s">
        <v>3222</v>
      </c>
      <c r="V154" s="186" t="n">
        <f aca="false">IF(AND($F154="原始數據",$U154&lt;&gt;"連結 SRC"),1,0)</f>
        <v>0</v>
      </c>
      <c r="W154" s="186" t="n">
        <f aca="false">IF(AND($F154="Analogy",OR($H154="—",$H154="")),1,0)</f>
        <v>0</v>
      </c>
      <c r="X154" s="186" t="n">
        <f aca="false">IF(AND(OR($F154="Analogy",$F154="Assumed"),$G154&lt;&gt;"低",$G154&lt;&gt;"高",NOT(ISNUMBER($K154)),NOT(ISNUMBER($L154)),OR($M154="—",$M154="")),1,0)</f>
        <v>0</v>
      </c>
      <c r="Y154" s="186" t="n">
        <f aca="false">IF(AND(OR($F154="Analogy",$F154="Assumed",$F154="Derived（待改公式）",$F154="Derived（公式）"),OR($N154="—",$N154="",$N154=0)),1,0)</f>
        <v>0</v>
      </c>
      <c r="Z154" s="186" t="n">
        <f aca="false">IF(AND($F154="Decision",OR($J154="—",$J154="")),1,0)</f>
        <v>0</v>
      </c>
      <c r="AA154" s="183" t="n">
        <f aca="false">IF(OR($J154="—",$J154=""),0,IF(COUNTIF(Decisions!$A$5:$A$300,$J154)=0,1,0))</f>
        <v>0</v>
      </c>
      <c r="AB154" s="186" t="n">
        <f aca="false">IF(AND($F154="原始數據",$S154&lt;&gt;"Active"),1,0)</f>
        <v>0</v>
      </c>
      <c r="AC154" s="186" t="n">
        <f aca="false">IF(AND(ISNUMBER($K154),ISNUMBER($L154),ISNUMBER($Q154)),IF(OR($Q154&lt;MIN($K154,$L154),$Q154&gt;MAX($K154,$L154)),1,0),0)</f>
        <v>0</v>
      </c>
      <c r="AD154" s="186" t="n">
        <f aca="false">IF(AND(ISNUMBER($T154),$P154="高"),IF($T154=3,1,0),0)</f>
        <v>0</v>
      </c>
      <c r="AE154" s="186" t="n">
        <f aca="false">IF($S154="不存在",1,0)</f>
        <v>0</v>
      </c>
      <c r="AF154" s="35" t="n">
        <f aca="false">IF(OR($H154="—",$H154=""),"—",MATCH($H154,IDX_SrcID,0))</f>
        <v>56</v>
      </c>
      <c r="AG154" s="104" t="n">
        <f aca="false">IF(AND($P154="高",OR($AD154=1,$X154=1)),1,0)</f>
        <v>0</v>
      </c>
      <c r="AH154" s="104" t="n">
        <f aca="false">IF(AND($P154="高",$AG154=0,OR($F154&lt;&gt;"原始數據",$T154&lt;&gt;1)),1,0)</f>
        <v>0</v>
      </c>
      <c r="AI154" s="53" t="str">
        <f aca="false">IF(AND($P154="高",ISNUMBER($AF154)),INDEX(IDX_SrcDate,$AF154),"—")</f>
        <v>—</v>
      </c>
      <c r="AJ154" s="104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6" t="s">
        <v>3598</v>
      </c>
      <c r="B155" s="215" t="s">
        <v>3183</v>
      </c>
      <c r="C155" s="36" t="s">
        <v>3341</v>
      </c>
      <c r="D155" s="36" t="s">
        <v>3299</v>
      </c>
      <c r="E155" s="6" t="s">
        <v>212</v>
      </c>
      <c r="F155" s="215" t="s">
        <v>298</v>
      </c>
      <c r="G155" s="215" t="s">
        <v>3185</v>
      </c>
      <c r="H155" s="36" t="s">
        <v>3599</v>
      </c>
      <c r="I155" s="19" t="s">
        <v>3220</v>
      </c>
      <c r="J155" s="36" t="s">
        <v>587</v>
      </c>
      <c r="K155" s="215"/>
      <c r="L155" s="215"/>
      <c r="M155" s="36" t="s">
        <v>587</v>
      </c>
      <c r="N155" s="19" t="s">
        <v>3318</v>
      </c>
      <c r="O155" s="6" t="s">
        <v>587</v>
      </c>
      <c r="P155" s="215" t="s">
        <v>3188</v>
      </c>
      <c r="Q155" s="41" t="n">
        <f aca="false">Spec_Rack!D33</f>
        <v>1200</v>
      </c>
      <c r="R155" s="185" t="n">
        <f aca="false">SRC_HW_057</f>
        <v>1200</v>
      </c>
      <c r="S155" s="35" t="str">
        <f aca="false">IF(ISNUMBER($AF155),INDEX(IDX_SrcStat,$AF155),"—")</f>
        <v>Active</v>
      </c>
      <c r="T155" s="35" t="n">
        <f aca="false">IF(ISNUMBER($AF155),INDEX(IDX_SrcGrade,$AF155),"—")</f>
        <v>3</v>
      </c>
      <c r="U155" s="35" t="s">
        <v>3222</v>
      </c>
      <c r="V155" s="186" t="n">
        <f aca="false">IF(AND($F155="原始數據",$U155&lt;&gt;"連結 SRC"),1,0)</f>
        <v>0</v>
      </c>
      <c r="W155" s="186" t="n">
        <f aca="false">IF(AND($F155="Analogy",OR($H155="—",$H155="")),1,0)</f>
        <v>0</v>
      </c>
      <c r="X155" s="186" t="n">
        <f aca="false">IF(AND(OR($F155="Analogy",$F155="Assumed"),$G155&lt;&gt;"低",$G155&lt;&gt;"高",NOT(ISNUMBER($K155)),NOT(ISNUMBER($L155)),OR($M155="—",$M155="")),1,0)</f>
        <v>0</v>
      </c>
      <c r="Y155" s="186" t="n">
        <f aca="false">IF(AND(OR($F155="Analogy",$F155="Assumed",$F155="Derived（待改公式）",$F155="Derived（公式）"),OR($N155="—",$N155="",$N155=0)),1,0)</f>
        <v>0</v>
      </c>
      <c r="Z155" s="186" t="n">
        <f aca="false">IF(AND($F155="Decision",OR($J155="—",$J155="")),1,0)</f>
        <v>0</v>
      </c>
      <c r="AA155" s="183" t="n">
        <f aca="false">IF(OR($J155="—",$J155=""),0,IF(COUNTIF(Decisions!$A$5:$A$300,$J155)=0,1,0))</f>
        <v>0</v>
      </c>
      <c r="AB155" s="186" t="n">
        <f aca="false">IF(AND($F155="原始數據",$S155&lt;&gt;"Active"),1,0)</f>
        <v>0</v>
      </c>
      <c r="AC155" s="186" t="n">
        <f aca="false">IF(AND(ISNUMBER($K155),ISNUMBER($L155),ISNUMBER($Q155)),IF(OR($Q155&lt;MIN($K155,$L155),$Q155&gt;MAX($K155,$L155)),1,0),0)</f>
        <v>0</v>
      </c>
      <c r="AD155" s="186" t="n">
        <f aca="false">IF(AND(ISNUMBER($T155),$P155="高"),IF($T155=3,1,0),0)</f>
        <v>0</v>
      </c>
      <c r="AE155" s="186" t="n">
        <f aca="false">IF($S155="不存在",1,0)</f>
        <v>0</v>
      </c>
      <c r="AF155" s="35" t="n">
        <f aca="false">IF(OR($H155="—",$H155=""),"—",MATCH($H155,IDX_SrcID,0))</f>
        <v>57</v>
      </c>
      <c r="AG155" s="104" t="n">
        <f aca="false">IF(AND($P155="高",OR($AD155=1,$X155=1)),1,0)</f>
        <v>0</v>
      </c>
      <c r="AH155" s="104" t="n">
        <f aca="false">IF(AND($P155="高",$AG155=0,OR($F155&lt;&gt;"原始數據",$T155&lt;&gt;1)),1,0)</f>
        <v>0</v>
      </c>
      <c r="AI155" s="53" t="str">
        <f aca="false">IF(AND($P155="高",ISNUMBER($AF155)),INDEX(IDX_SrcDate,$AF155),"—")</f>
        <v>—</v>
      </c>
      <c r="AJ155" s="104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6" t="s">
        <v>3600</v>
      </c>
      <c r="B156" s="215" t="s">
        <v>3183</v>
      </c>
      <c r="C156" s="36" t="s">
        <v>3341</v>
      </c>
      <c r="D156" s="36" t="s">
        <v>3297</v>
      </c>
      <c r="E156" s="6" t="s">
        <v>212</v>
      </c>
      <c r="F156" s="215" t="s">
        <v>298</v>
      </c>
      <c r="G156" s="215" t="s">
        <v>3185</v>
      </c>
      <c r="H156" s="36" t="s">
        <v>3601</v>
      </c>
      <c r="I156" s="19" t="s">
        <v>3220</v>
      </c>
      <c r="J156" s="36" t="s">
        <v>587</v>
      </c>
      <c r="K156" s="215"/>
      <c r="L156" s="215"/>
      <c r="M156" s="36" t="s">
        <v>587</v>
      </c>
      <c r="N156" s="19" t="s">
        <v>3318</v>
      </c>
      <c r="O156" s="6" t="s">
        <v>587</v>
      </c>
      <c r="P156" s="215" t="s">
        <v>3188</v>
      </c>
      <c r="Q156" s="41" t="n">
        <f aca="false">Spec_Rack!E33</f>
        <v>1400</v>
      </c>
      <c r="R156" s="185" t="n">
        <f aca="false">SRC_HW_058</f>
        <v>1400</v>
      </c>
      <c r="S156" s="35" t="str">
        <f aca="false">IF(ISNUMBER($AF156),INDEX(IDX_SrcStat,$AF156),"—")</f>
        <v>Active</v>
      </c>
      <c r="T156" s="35" t="n">
        <f aca="false">IF(ISNUMBER($AF156),INDEX(IDX_SrcGrade,$AF156),"—")</f>
        <v>3</v>
      </c>
      <c r="U156" s="35" t="s">
        <v>3222</v>
      </c>
      <c r="V156" s="186" t="n">
        <f aca="false">IF(AND($F156="原始數據",$U156&lt;&gt;"連結 SRC"),1,0)</f>
        <v>0</v>
      </c>
      <c r="W156" s="186" t="n">
        <f aca="false">IF(AND($F156="Analogy",OR($H156="—",$H156="")),1,0)</f>
        <v>0</v>
      </c>
      <c r="X156" s="186" t="n">
        <f aca="false">IF(AND(OR($F156="Analogy",$F156="Assumed"),$G156&lt;&gt;"低",$G156&lt;&gt;"高",NOT(ISNUMBER($K156)),NOT(ISNUMBER($L156)),OR($M156="—",$M156="")),1,0)</f>
        <v>0</v>
      </c>
      <c r="Y156" s="186" t="n">
        <f aca="false">IF(AND(OR($F156="Analogy",$F156="Assumed",$F156="Derived（待改公式）",$F156="Derived（公式）"),OR($N156="—",$N156="",$N156=0)),1,0)</f>
        <v>0</v>
      </c>
      <c r="Z156" s="186" t="n">
        <f aca="false">IF(AND($F156="Decision",OR($J156="—",$J156="")),1,0)</f>
        <v>0</v>
      </c>
      <c r="AA156" s="183" t="n">
        <f aca="false">IF(OR($J156="—",$J156=""),0,IF(COUNTIF(Decisions!$A$5:$A$300,$J156)=0,1,0))</f>
        <v>0</v>
      </c>
      <c r="AB156" s="186" t="n">
        <f aca="false">IF(AND($F156="原始數據",$S156&lt;&gt;"Active"),1,0)</f>
        <v>0</v>
      </c>
      <c r="AC156" s="186" t="n">
        <f aca="false">IF(AND(ISNUMBER($K156),ISNUMBER($L156),ISNUMBER($Q156)),IF(OR($Q156&lt;MIN($K156,$L156),$Q156&gt;MAX($K156,$L156)),1,0),0)</f>
        <v>0</v>
      </c>
      <c r="AD156" s="186" t="n">
        <f aca="false">IF(AND(ISNUMBER($T156),$P156="高"),IF($T156=3,1,0),0)</f>
        <v>0</v>
      </c>
      <c r="AE156" s="186" t="n">
        <f aca="false">IF($S156="不存在",1,0)</f>
        <v>0</v>
      </c>
      <c r="AF156" s="35" t="n">
        <f aca="false">IF(OR($H156="—",$H156=""),"—",MATCH($H156,IDX_SrcID,0))</f>
        <v>58</v>
      </c>
      <c r="AG156" s="104" t="n">
        <f aca="false">IF(AND($P156="高",OR($AD156=1,$X156=1)),1,0)</f>
        <v>0</v>
      </c>
      <c r="AH156" s="104" t="n">
        <f aca="false">IF(AND($P156="高",$AG156=0,OR($F156&lt;&gt;"原始數據",$T156&lt;&gt;1)),1,0)</f>
        <v>0</v>
      </c>
      <c r="AI156" s="53" t="str">
        <f aca="false">IF(AND($P156="高",ISNUMBER($AF156)),INDEX(IDX_SrcDate,$AF156),"—")</f>
        <v>—</v>
      </c>
      <c r="AJ156" s="104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6" t="s">
        <v>3602</v>
      </c>
      <c r="B157" s="215" t="s">
        <v>3183</v>
      </c>
      <c r="C157" s="36" t="s">
        <v>3341</v>
      </c>
      <c r="D157" s="36" t="s">
        <v>3301</v>
      </c>
      <c r="E157" s="6" t="s">
        <v>212</v>
      </c>
      <c r="F157" s="215" t="s">
        <v>298</v>
      </c>
      <c r="G157" s="215" t="s">
        <v>3185</v>
      </c>
      <c r="H157" s="36" t="s">
        <v>3603</v>
      </c>
      <c r="I157" s="19" t="s">
        <v>3519</v>
      </c>
      <c r="J157" s="36" t="s">
        <v>587</v>
      </c>
      <c r="K157" s="215"/>
      <c r="L157" s="215"/>
      <c r="M157" s="36" t="s">
        <v>587</v>
      </c>
      <c r="N157" s="19" t="s">
        <v>3318</v>
      </c>
      <c r="O157" s="6" t="s">
        <v>587</v>
      </c>
      <c r="P157" s="215" t="s">
        <v>3188</v>
      </c>
      <c r="Q157" s="41" t="n">
        <f aca="false">Spec_Rack!F33</f>
        <v>1800</v>
      </c>
      <c r="R157" s="185" t="n">
        <f aca="false">SRC_HW_046</f>
        <v>1.8</v>
      </c>
      <c r="S157" s="35" t="str">
        <f aca="false">IF(ISNUMBER($AF157),INDEX(IDX_SrcStat,$AF157),"—")</f>
        <v>Active</v>
      </c>
      <c r="T157" s="35" t="n">
        <f aca="false">IF(ISNUMBER($AF157),INDEX(IDX_SrcGrade,$AF157),"—")</f>
        <v>3</v>
      </c>
      <c r="U157" s="35" t="s">
        <v>3222</v>
      </c>
      <c r="V157" s="186" t="n">
        <f aca="false">IF(AND($F157="原始數據",$U157&lt;&gt;"連結 SRC"),1,0)</f>
        <v>0</v>
      </c>
      <c r="W157" s="186" t="n">
        <f aca="false">IF(AND($F157="Analogy",OR($H157="—",$H157="")),1,0)</f>
        <v>0</v>
      </c>
      <c r="X157" s="186" t="n">
        <f aca="false">IF(AND(OR($F157="Analogy",$F157="Assumed"),$G157&lt;&gt;"低",$G157&lt;&gt;"高",NOT(ISNUMBER($K157)),NOT(ISNUMBER($L157)),OR($M157="—",$M157="")),1,0)</f>
        <v>0</v>
      </c>
      <c r="Y157" s="186" t="n">
        <f aca="false">IF(AND(OR($F157="Analogy",$F157="Assumed",$F157="Derived（待改公式）",$F157="Derived（公式）"),OR($N157="—",$N157="",$N157=0)),1,0)</f>
        <v>0</v>
      </c>
      <c r="Z157" s="186" t="n">
        <f aca="false">IF(AND($F157="Decision",OR($J157="—",$J157="")),1,0)</f>
        <v>0</v>
      </c>
      <c r="AA157" s="183" t="n">
        <f aca="false">IF(OR($J157="—",$J157=""),0,IF(COUNTIF(Decisions!$A$5:$A$300,$J157)=0,1,0))</f>
        <v>0</v>
      </c>
      <c r="AB157" s="186" t="n">
        <f aca="false">IF(AND($F157="原始數據",$S157&lt;&gt;"Active"),1,0)</f>
        <v>0</v>
      </c>
      <c r="AC157" s="186" t="n">
        <f aca="false">IF(AND(ISNUMBER($K157),ISNUMBER($L157),ISNUMBER($Q157)),IF(OR($Q157&lt;MIN($K157,$L157),$Q157&gt;MAX($K157,$L157)),1,0),0)</f>
        <v>0</v>
      </c>
      <c r="AD157" s="186" t="n">
        <f aca="false">IF(AND(ISNUMBER($T157),$P157="高"),IF($T157=3,1,0),0)</f>
        <v>0</v>
      </c>
      <c r="AE157" s="186" t="n">
        <f aca="false">IF($S157="不存在",1,0)</f>
        <v>0</v>
      </c>
      <c r="AF157" s="35" t="n">
        <f aca="false">IF(OR($H157="—",$H157=""),"—",MATCH($H157,IDX_SrcID,0))</f>
        <v>46</v>
      </c>
      <c r="AG157" s="104" t="n">
        <f aca="false">IF(AND($P157="高",OR($AD157=1,$X157=1)),1,0)</f>
        <v>0</v>
      </c>
      <c r="AH157" s="104" t="n">
        <f aca="false">IF(AND($P157="高",$AG157=0,OR($F157&lt;&gt;"原始數據",$T157&lt;&gt;1)),1,0)</f>
        <v>0</v>
      </c>
      <c r="AI157" s="53" t="str">
        <f aca="false">IF(AND($P157="高",ISNUMBER($AF157)),INDEX(IDX_SrcDate,$AF157),"—")</f>
        <v>—</v>
      </c>
      <c r="AJ157" s="104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6" t="s">
        <v>3604</v>
      </c>
      <c r="B158" s="215" t="s">
        <v>3183</v>
      </c>
      <c r="C158" s="36" t="s">
        <v>3341</v>
      </c>
      <c r="D158" s="36" t="s">
        <v>3605</v>
      </c>
      <c r="E158" s="6" t="s">
        <v>212</v>
      </c>
      <c r="F158" s="36" t="s">
        <v>80</v>
      </c>
      <c r="G158" s="215" t="s">
        <v>65</v>
      </c>
      <c r="H158" s="36" t="s">
        <v>587</v>
      </c>
      <c r="I158" s="6" t="s">
        <v>587</v>
      </c>
      <c r="J158" s="36" t="s">
        <v>587</v>
      </c>
      <c r="K158" s="185" t="n">
        <f aca="false">Spec_Rack!G33*0.7</f>
        <v>2520</v>
      </c>
      <c r="L158" s="185" t="n">
        <f aca="false">Spec_Rack!G33*1.3</f>
        <v>4680</v>
      </c>
      <c r="M158" s="36" t="s">
        <v>3465</v>
      </c>
      <c r="N158" s="6" t="s">
        <v>3594</v>
      </c>
      <c r="O158" s="6" t="s">
        <v>587</v>
      </c>
      <c r="P158" s="215" t="s">
        <v>3188</v>
      </c>
      <c r="Q158" s="41" t="n">
        <f aca="false">Spec_Rack!G33</f>
        <v>3600</v>
      </c>
      <c r="R158" s="36" t="s">
        <v>587</v>
      </c>
      <c r="S158" s="35" t="str">
        <f aca="false">IF(ISNUMBER($AF158),INDEX(IDX_SrcStat,$AF158),"—")</f>
        <v>—</v>
      </c>
      <c r="T158" s="35" t="str">
        <f aca="false">IF(ISNUMBER($AF158),INDEX(IDX_SrcGrade,$AF158),"—")</f>
        <v>—</v>
      </c>
      <c r="U158" s="35" t="s">
        <v>3189</v>
      </c>
      <c r="V158" s="186" t="n">
        <f aca="false">IF(AND($F158="原始數據",$U158&lt;&gt;"連結 SRC"),1,0)</f>
        <v>0</v>
      </c>
      <c r="W158" s="186" t="n">
        <f aca="false">IF(AND($F158="Analogy",OR($H158="—",$H158="")),1,0)</f>
        <v>0</v>
      </c>
      <c r="X158" s="186" t="n">
        <f aca="false">IF(AND(OR($F158="Analogy",$F158="Assumed"),$G158&lt;&gt;"低",$G158&lt;&gt;"高",NOT(ISNUMBER($K158)),NOT(ISNUMBER($L158)),OR($M158="—",$M158="")),1,0)</f>
        <v>0</v>
      </c>
      <c r="Y158" s="186" t="n">
        <f aca="false">IF(AND(OR($F158="Analogy",$F158="Assumed",$F158="Derived（待改公式）",$F158="Derived（公式）"),OR($N158="—",$N158="",$N158=0)),1,0)</f>
        <v>0</v>
      </c>
      <c r="Z158" s="186" t="n">
        <f aca="false">IF(AND($F158="Decision",OR($J158="—",$J158="")),1,0)</f>
        <v>0</v>
      </c>
      <c r="AA158" s="183" t="n">
        <f aca="false">IF(OR($J158="—",$J158=""),0,IF(COUNTIF(Decisions!$A$5:$A$300,$J158)=0,1,0))</f>
        <v>0</v>
      </c>
      <c r="AB158" s="186" t="n">
        <f aca="false">IF(AND($F158="原始數據",$S158&lt;&gt;"Active"),1,0)</f>
        <v>0</v>
      </c>
      <c r="AC158" s="186" t="n">
        <f aca="false">IF(AND(ISNUMBER($K158),ISNUMBER($L158),ISNUMBER($Q158)),IF(OR($Q158&lt;MIN($K158,$L158),$Q158&gt;MAX($K158,$L158)),1,0),0)</f>
        <v>0</v>
      </c>
      <c r="AD158" s="186" t="n">
        <f aca="false">IF(AND(ISNUMBER($T158),$P158="高"),IF($T158=3,1,0),0)</f>
        <v>0</v>
      </c>
      <c r="AE158" s="186" t="n">
        <f aca="false">IF($S158="不存在",1,0)</f>
        <v>0</v>
      </c>
      <c r="AF158" s="35" t="str">
        <f aca="false">IF(OR($H158="—",$H158=""),"—",MATCH($H158,IDX_SrcID,0))</f>
        <v>—</v>
      </c>
      <c r="AG158" s="104" t="n">
        <f aca="false">IF(AND($P158="高",OR($AD158=1,$X158=1)),1,0)</f>
        <v>0</v>
      </c>
      <c r="AH158" s="104" t="n">
        <f aca="false">IF(AND($P158="高",$AG158=0,OR($F158&lt;&gt;"原始數據",$T158&lt;&gt;1)),1,0)</f>
        <v>0</v>
      </c>
      <c r="AI158" s="53" t="str">
        <f aca="false">IF(AND($P158="高",ISNUMBER($AF158)),INDEX(IDX_SrcDate,$AF158),"—")</f>
        <v>—</v>
      </c>
      <c r="AJ158" s="104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6" t="s">
        <v>3606</v>
      </c>
      <c r="B159" s="215" t="s">
        <v>3183</v>
      </c>
      <c r="C159" s="36" t="s">
        <v>3341</v>
      </c>
      <c r="D159" s="36" t="s">
        <v>3607</v>
      </c>
      <c r="E159" s="6" t="s">
        <v>214</v>
      </c>
      <c r="F159" s="36" t="s">
        <v>84</v>
      </c>
      <c r="G159" s="215" t="s">
        <v>3185</v>
      </c>
      <c r="H159" s="36" t="s">
        <v>3608</v>
      </c>
      <c r="I159" s="19" t="s">
        <v>3609</v>
      </c>
      <c r="J159" s="36" t="s">
        <v>587</v>
      </c>
      <c r="K159" s="185" t="n">
        <f aca="false">Spec_Rack!C34*0.7</f>
        <v>21.7</v>
      </c>
      <c r="L159" s="185" t="n">
        <f aca="false">Spec_Rack!C34*1.3</f>
        <v>40.3</v>
      </c>
      <c r="M159" s="36" t="s">
        <v>3610</v>
      </c>
      <c r="N159" s="216" t="str">
        <f aca="false">Spec_Rack!$H$34</f>
        <v>Analogy：HBM3 約 3.9 pJ/bit、HBM3e 約 3、HBM4 約 2.5；區間 ±30%（S29）</v>
      </c>
      <c r="O159" s="6" t="s">
        <v>587</v>
      </c>
      <c r="P159" s="215" t="s">
        <v>3188</v>
      </c>
      <c r="Q159" s="41" t="n">
        <f aca="false">Spec_Rack!C34</f>
        <v>31</v>
      </c>
      <c r="R159" s="185" t="n">
        <f aca="false">SRC_HW_032</f>
        <v>3.9</v>
      </c>
      <c r="S159" s="35" t="str">
        <f aca="false">IF(ISNUMBER($AF159),INDEX(IDX_SrcStat,$AF159),"—")</f>
        <v>Active</v>
      </c>
      <c r="T159" s="35" t="n">
        <f aca="false">IF(ISNUMBER($AF159),INDEX(IDX_SrcGrade,$AF159),"—")</f>
        <v>3</v>
      </c>
      <c r="U159" s="35" t="s">
        <v>3189</v>
      </c>
      <c r="V159" s="186" t="n">
        <f aca="false">IF(AND($F159="原始數據",$U159&lt;&gt;"連結 SRC"),1,0)</f>
        <v>0</v>
      </c>
      <c r="W159" s="186" t="n">
        <f aca="false">IF(AND($F159="Analogy",OR($H159="—",$H159="")),1,0)</f>
        <v>0</v>
      </c>
      <c r="X159" s="186" t="n">
        <f aca="false">IF(AND(OR($F159="Analogy",$F159="Assumed"),$G159&lt;&gt;"低",$G159&lt;&gt;"高",NOT(ISNUMBER($K159)),NOT(ISNUMBER($L159)),OR($M159="—",$M159="")),1,0)</f>
        <v>0</v>
      </c>
      <c r="Y159" s="186" t="n">
        <f aca="false">IF(AND(OR($F159="Analogy",$F159="Assumed",$F159="Derived（待改公式）",$F159="Derived（公式）"),OR($N159="—",$N159="",$N159=0)),1,0)</f>
        <v>0</v>
      </c>
      <c r="Z159" s="186" t="n">
        <f aca="false">IF(AND($F159="Decision",OR($J159="—",$J159="")),1,0)</f>
        <v>0</v>
      </c>
      <c r="AA159" s="183" t="n">
        <f aca="false">IF(OR($J159="—",$J159=""),0,IF(COUNTIF(Decisions!$A$5:$A$300,$J159)=0,1,0))</f>
        <v>0</v>
      </c>
      <c r="AB159" s="186" t="n">
        <f aca="false">IF(AND($F159="原始數據",$S159&lt;&gt;"Active"),1,0)</f>
        <v>0</v>
      </c>
      <c r="AC159" s="186" t="n">
        <f aca="false">IF(AND(ISNUMBER($K159),ISNUMBER($L159),ISNUMBER($Q159)),IF(OR($Q159&lt;MIN($K159,$L159),$Q159&gt;MAX($K159,$L159)),1,0),0)</f>
        <v>0</v>
      </c>
      <c r="AD159" s="186" t="n">
        <f aca="false">IF(AND(ISNUMBER($T159),$P159="高"),IF($T159=3,1,0),0)</f>
        <v>0</v>
      </c>
      <c r="AE159" s="186" t="n">
        <f aca="false">IF($S159="不存在",1,0)</f>
        <v>0</v>
      </c>
      <c r="AF159" s="35" t="n">
        <f aca="false">IF(OR($H159="—",$H159=""),"—",MATCH($H159,IDX_SrcID,0))</f>
        <v>32</v>
      </c>
      <c r="AG159" s="104" t="n">
        <f aca="false">IF(AND($P159="高",OR($AD159=1,$X159=1)),1,0)</f>
        <v>0</v>
      </c>
      <c r="AH159" s="104" t="n">
        <f aca="false">IF(AND($P159="高",$AG159=0,OR($F159&lt;&gt;"原始數據",$T159&lt;&gt;1)),1,0)</f>
        <v>0</v>
      </c>
      <c r="AI159" s="53" t="str">
        <f aca="false">IF(AND($P159="高",ISNUMBER($AF159)),INDEX(IDX_SrcDate,$AF159),"—")</f>
        <v>—</v>
      </c>
      <c r="AJ159" s="104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6" t="s">
        <v>3611</v>
      </c>
      <c r="B160" s="215" t="s">
        <v>3183</v>
      </c>
      <c r="C160" s="36" t="s">
        <v>3341</v>
      </c>
      <c r="D160" s="36" t="s">
        <v>3305</v>
      </c>
      <c r="E160" s="6" t="s">
        <v>214</v>
      </c>
      <c r="F160" s="36" t="s">
        <v>84</v>
      </c>
      <c r="G160" s="215" t="s">
        <v>3185</v>
      </c>
      <c r="H160" s="36" t="s">
        <v>3612</v>
      </c>
      <c r="I160" s="19" t="s">
        <v>3609</v>
      </c>
      <c r="J160" s="36" t="s">
        <v>587</v>
      </c>
      <c r="K160" s="185" t="n">
        <f aca="false">Spec_Rack!D34*0.7</f>
        <v>17.5</v>
      </c>
      <c r="L160" s="185" t="n">
        <f aca="false">Spec_Rack!D34*1.3</f>
        <v>32.5</v>
      </c>
      <c r="M160" s="36" t="s">
        <v>3610</v>
      </c>
      <c r="N160" s="216" t="str">
        <f aca="false">Spec_Rack!$H$34</f>
        <v>Analogy：HBM3 約 3.9 pJ/bit、HBM3e 約 3、HBM4 約 2.5；區間 ±30%（S29）</v>
      </c>
      <c r="O160" s="6" t="s">
        <v>587</v>
      </c>
      <c r="P160" s="215" t="s">
        <v>3188</v>
      </c>
      <c r="Q160" s="41" t="n">
        <f aca="false">Spec_Rack!D34</f>
        <v>25</v>
      </c>
      <c r="R160" s="185" t="n">
        <f aca="false">SRC_HW_033</f>
        <v>3</v>
      </c>
      <c r="S160" s="35" t="str">
        <f aca="false">IF(ISNUMBER($AF160),INDEX(IDX_SrcStat,$AF160),"—")</f>
        <v>Active</v>
      </c>
      <c r="T160" s="35" t="n">
        <f aca="false">IF(ISNUMBER($AF160),INDEX(IDX_SrcGrade,$AF160),"—")</f>
        <v>3</v>
      </c>
      <c r="U160" s="35" t="s">
        <v>3189</v>
      </c>
      <c r="V160" s="186" t="n">
        <f aca="false">IF(AND($F160="原始數據",$U160&lt;&gt;"連結 SRC"),1,0)</f>
        <v>0</v>
      </c>
      <c r="W160" s="186" t="n">
        <f aca="false">IF(AND($F160="Analogy",OR($H160="—",$H160="")),1,0)</f>
        <v>0</v>
      </c>
      <c r="X160" s="186" t="n">
        <f aca="false">IF(AND(OR($F160="Analogy",$F160="Assumed"),$G160&lt;&gt;"低",$G160&lt;&gt;"高",NOT(ISNUMBER($K160)),NOT(ISNUMBER($L160)),OR($M160="—",$M160="")),1,0)</f>
        <v>0</v>
      </c>
      <c r="Y160" s="186" t="n">
        <f aca="false">IF(AND(OR($F160="Analogy",$F160="Assumed",$F160="Derived（待改公式）",$F160="Derived（公式）"),OR($N160="—",$N160="",$N160=0)),1,0)</f>
        <v>0</v>
      </c>
      <c r="Z160" s="186" t="n">
        <f aca="false">IF(AND($F160="Decision",OR($J160="—",$J160="")),1,0)</f>
        <v>0</v>
      </c>
      <c r="AA160" s="183" t="n">
        <f aca="false">IF(OR($J160="—",$J160=""),0,IF(COUNTIF(Decisions!$A$5:$A$300,$J160)=0,1,0))</f>
        <v>0</v>
      </c>
      <c r="AB160" s="186" t="n">
        <f aca="false">IF(AND($F160="原始數據",$S160&lt;&gt;"Active"),1,0)</f>
        <v>0</v>
      </c>
      <c r="AC160" s="186" t="n">
        <f aca="false">IF(AND(ISNUMBER($K160),ISNUMBER($L160),ISNUMBER($Q160)),IF(OR($Q160&lt;MIN($K160,$L160),$Q160&gt;MAX($K160,$L160)),1,0),0)</f>
        <v>0</v>
      </c>
      <c r="AD160" s="186" t="n">
        <f aca="false">IF(AND(ISNUMBER($T160),$P160="高"),IF($T160=3,1,0),0)</f>
        <v>0</v>
      </c>
      <c r="AE160" s="186" t="n">
        <f aca="false">IF($S160="不存在",1,0)</f>
        <v>0</v>
      </c>
      <c r="AF160" s="35" t="n">
        <f aca="false">IF(OR($H160="—",$H160=""),"—",MATCH($H160,IDX_SrcID,0))</f>
        <v>33</v>
      </c>
      <c r="AG160" s="104" t="n">
        <f aca="false">IF(AND($P160="高",OR($AD160=1,$X160=1)),1,0)</f>
        <v>0</v>
      </c>
      <c r="AH160" s="104" t="n">
        <f aca="false">IF(AND($P160="高",$AG160=0,OR($F160&lt;&gt;"原始數據",$T160&lt;&gt;1)),1,0)</f>
        <v>0</v>
      </c>
      <c r="AI160" s="53" t="str">
        <f aca="false">IF(AND($P160="高",ISNUMBER($AF160)),INDEX(IDX_SrcDate,$AF160),"—")</f>
        <v>—</v>
      </c>
      <c r="AJ160" s="104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6" t="s">
        <v>3613</v>
      </c>
      <c r="B161" s="215" t="s">
        <v>3183</v>
      </c>
      <c r="C161" s="36" t="s">
        <v>3341</v>
      </c>
      <c r="D161" s="36" t="s">
        <v>3303</v>
      </c>
      <c r="E161" s="6" t="s">
        <v>214</v>
      </c>
      <c r="F161" s="36" t="s">
        <v>84</v>
      </c>
      <c r="G161" s="215" t="s">
        <v>3185</v>
      </c>
      <c r="H161" s="36" t="s">
        <v>3612</v>
      </c>
      <c r="I161" s="19" t="s">
        <v>3609</v>
      </c>
      <c r="J161" s="36" t="s">
        <v>587</v>
      </c>
      <c r="K161" s="185" t="n">
        <f aca="false">Spec_Rack!E34*0.7</f>
        <v>17.5</v>
      </c>
      <c r="L161" s="185" t="n">
        <f aca="false">Spec_Rack!E34*1.3</f>
        <v>32.5</v>
      </c>
      <c r="M161" s="36" t="s">
        <v>3610</v>
      </c>
      <c r="N161" s="216" t="str">
        <f aca="false">Spec_Rack!$H$34</f>
        <v>Analogy：HBM3 約 3.9 pJ/bit、HBM3e 約 3、HBM4 約 2.5；區間 ±30%（S29）</v>
      </c>
      <c r="O161" s="6" t="s">
        <v>587</v>
      </c>
      <c r="P161" s="215" t="s">
        <v>3188</v>
      </c>
      <c r="Q161" s="41" t="n">
        <f aca="false">Spec_Rack!E34</f>
        <v>25</v>
      </c>
      <c r="R161" s="185" t="n">
        <f aca="false">SRC_HW_033</f>
        <v>3</v>
      </c>
      <c r="S161" s="35" t="str">
        <f aca="false">IF(ISNUMBER($AF161),INDEX(IDX_SrcStat,$AF161),"—")</f>
        <v>Active</v>
      </c>
      <c r="T161" s="35" t="n">
        <f aca="false">IF(ISNUMBER($AF161),INDEX(IDX_SrcGrade,$AF161),"—")</f>
        <v>3</v>
      </c>
      <c r="U161" s="35" t="s">
        <v>3189</v>
      </c>
      <c r="V161" s="186" t="n">
        <f aca="false">IF(AND($F161="原始數據",$U161&lt;&gt;"連結 SRC"),1,0)</f>
        <v>0</v>
      </c>
      <c r="W161" s="186" t="n">
        <f aca="false">IF(AND($F161="Analogy",OR($H161="—",$H161="")),1,0)</f>
        <v>0</v>
      </c>
      <c r="X161" s="186" t="n">
        <f aca="false">IF(AND(OR($F161="Analogy",$F161="Assumed"),$G161&lt;&gt;"低",$G161&lt;&gt;"高",NOT(ISNUMBER($K161)),NOT(ISNUMBER($L161)),OR($M161="—",$M161="")),1,0)</f>
        <v>0</v>
      </c>
      <c r="Y161" s="186" t="n">
        <f aca="false">IF(AND(OR($F161="Analogy",$F161="Assumed",$F161="Derived（待改公式）",$F161="Derived（公式）"),OR($N161="—",$N161="",$N161=0)),1,0)</f>
        <v>0</v>
      </c>
      <c r="Z161" s="186" t="n">
        <f aca="false">IF(AND($F161="Decision",OR($J161="—",$J161="")),1,0)</f>
        <v>0</v>
      </c>
      <c r="AA161" s="183" t="n">
        <f aca="false">IF(OR($J161="—",$J161=""),0,IF(COUNTIF(Decisions!$A$5:$A$300,$J161)=0,1,0))</f>
        <v>0</v>
      </c>
      <c r="AB161" s="186" t="n">
        <f aca="false">IF(AND($F161="原始數據",$S161&lt;&gt;"Active"),1,0)</f>
        <v>0</v>
      </c>
      <c r="AC161" s="186" t="n">
        <f aca="false">IF(AND(ISNUMBER($K161),ISNUMBER($L161),ISNUMBER($Q161)),IF(OR($Q161&lt;MIN($K161,$L161),$Q161&gt;MAX($K161,$L161)),1,0),0)</f>
        <v>0</v>
      </c>
      <c r="AD161" s="186" t="n">
        <f aca="false">IF(AND(ISNUMBER($T161),$P161="高"),IF($T161=3,1,0),0)</f>
        <v>0</v>
      </c>
      <c r="AE161" s="186" t="n">
        <f aca="false">IF($S161="不存在",1,0)</f>
        <v>0</v>
      </c>
      <c r="AF161" s="35" t="n">
        <f aca="false">IF(OR($H161="—",$H161=""),"—",MATCH($H161,IDX_SrcID,0))</f>
        <v>33</v>
      </c>
      <c r="AG161" s="104" t="n">
        <f aca="false">IF(AND($P161="高",OR($AD161=1,$X161=1)),1,0)</f>
        <v>0</v>
      </c>
      <c r="AH161" s="104" t="n">
        <f aca="false">IF(AND($P161="高",$AG161=0,OR($F161&lt;&gt;"原始數據",$T161&lt;&gt;1)),1,0)</f>
        <v>0</v>
      </c>
      <c r="AI161" s="53" t="str">
        <f aca="false">IF(AND($P161="高",ISNUMBER($AF161)),INDEX(IDX_SrcDate,$AF161),"—")</f>
        <v>—</v>
      </c>
      <c r="AJ161" s="104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6" t="s">
        <v>3614</v>
      </c>
      <c r="B162" s="215" t="s">
        <v>3183</v>
      </c>
      <c r="C162" s="36" t="s">
        <v>3341</v>
      </c>
      <c r="D162" s="36" t="s">
        <v>3307</v>
      </c>
      <c r="E162" s="6" t="s">
        <v>214</v>
      </c>
      <c r="F162" s="215" t="s">
        <v>298</v>
      </c>
      <c r="G162" s="215" t="s">
        <v>3185</v>
      </c>
      <c r="H162" s="36" t="s">
        <v>3615</v>
      </c>
      <c r="I162" s="19" t="s">
        <v>3519</v>
      </c>
      <c r="J162" s="36" t="s">
        <v>587</v>
      </c>
      <c r="K162" s="215"/>
      <c r="L162" s="215"/>
      <c r="M162" s="36" t="s">
        <v>587</v>
      </c>
      <c r="N162" s="19" t="s">
        <v>3318</v>
      </c>
      <c r="O162" s="6" t="s">
        <v>587</v>
      </c>
      <c r="P162" s="215" t="s">
        <v>3188</v>
      </c>
      <c r="Q162" s="41" t="n">
        <f aca="false">Spec_Rack!F34</f>
        <v>20</v>
      </c>
      <c r="R162" s="185" t="n">
        <f aca="false">SRC_HW_034</f>
        <v>2.5</v>
      </c>
      <c r="S162" s="35" t="str">
        <f aca="false">IF(ISNUMBER($AF162),INDEX(IDX_SrcStat,$AF162),"—")</f>
        <v>Active</v>
      </c>
      <c r="T162" s="35" t="n">
        <f aca="false">IF(ISNUMBER($AF162),INDEX(IDX_SrcGrade,$AF162),"—")</f>
        <v>3</v>
      </c>
      <c r="U162" s="35" t="s">
        <v>3222</v>
      </c>
      <c r="V162" s="186" t="n">
        <f aca="false">IF(AND($F162="原始數據",$U162&lt;&gt;"連結 SRC"),1,0)</f>
        <v>0</v>
      </c>
      <c r="W162" s="186" t="n">
        <f aca="false">IF(AND($F162="Analogy",OR($H162="—",$H162="")),1,0)</f>
        <v>0</v>
      </c>
      <c r="X162" s="186" t="n">
        <f aca="false">IF(AND(OR($F162="Analogy",$F162="Assumed"),$G162&lt;&gt;"低",$G162&lt;&gt;"高",NOT(ISNUMBER($K162)),NOT(ISNUMBER($L162)),OR($M162="—",$M162="")),1,0)</f>
        <v>0</v>
      </c>
      <c r="Y162" s="186" t="n">
        <f aca="false">IF(AND(OR($F162="Analogy",$F162="Assumed",$F162="Derived（待改公式）",$F162="Derived（公式）"),OR($N162="—",$N162="",$N162=0)),1,0)</f>
        <v>0</v>
      </c>
      <c r="Z162" s="186" t="n">
        <f aca="false">IF(AND($F162="Decision",OR($J162="—",$J162="")),1,0)</f>
        <v>0</v>
      </c>
      <c r="AA162" s="183" t="n">
        <f aca="false">IF(OR($J162="—",$J162=""),0,IF(COUNTIF(Decisions!$A$5:$A$300,$J162)=0,1,0))</f>
        <v>0</v>
      </c>
      <c r="AB162" s="186" t="n">
        <f aca="false">IF(AND($F162="原始數據",$S162&lt;&gt;"Active"),1,0)</f>
        <v>0</v>
      </c>
      <c r="AC162" s="186" t="n">
        <f aca="false">IF(AND(ISNUMBER($K162),ISNUMBER($L162),ISNUMBER($Q162)),IF(OR($Q162&lt;MIN($K162,$L162),$Q162&gt;MAX($K162,$L162)),1,0),0)</f>
        <v>0</v>
      </c>
      <c r="AD162" s="186" t="n">
        <f aca="false">IF(AND(ISNUMBER($T162),$P162="高"),IF($T162=3,1,0),0)</f>
        <v>0</v>
      </c>
      <c r="AE162" s="186" t="n">
        <f aca="false">IF($S162="不存在",1,0)</f>
        <v>0</v>
      </c>
      <c r="AF162" s="35" t="n">
        <f aca="false">IF(OR($H162="—",$H162=""),"—",MATCH($H162,IDX_SrcID,0))</f>
        <v>34</v>
      </c>
      <c r="AG162" s="104" t="n">
        <f aca="false">IF(AND($P162="高",OR($AD162=1,$X162=1)),1,0)</f>
        <v>0</v>
      </c>
      <c r="AH162" s="104" t="n">
        <f aca="false">IF(AND($P162="高",$AG162=0,OR($F162&lt;&gt;"原始數據",$T162&lt;&gt;1)),1,0)</f>
        <v>0</v>
      </c>
      <c r="AI162" s="53" t="str">
        <f aca="false">IF(AND($P162="高",ISNUMBER($AF162)),INDEX(IDX_SrcDate,$AF162),"—")</f>
        <v>—</v>
      </c>
      <c r="AJ162" s="104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6" t="s">
        <v>3616</v>
      </c>
      <c r="B163" s="215" t="s">
        <v>3183</v>
      </c>
      <c r="C163" s="36" t="s">
        <v>3341</v>
      </c>
      <c r="D163" s="36" t="s">
        <v>3617</v>
      </c>
      <c r="E163" s="6" t="s">
        <v>214</v>
      </c>
      <c r="F163" s="36" t="s">
        <v>80</v>
      </c>
      <c r="G163" s="215" t="s">
        <v>65</v>
      </c>
      <c r="H163" s="36" t="s">
        <v>587</v>
      </c>
      <c r="I163" s="6" t="s">
        <v>587</v>
      </c>
      <c r="J163" s="36" t="s">
        <v>587</v>
      </c>
      <c r="K163" s="185" t="n">
        <f aca="false">Spec_Rack!G34*0.7</f>
        <v>12.6</v>
      </c>
      <c r="L163" s="185" t="n">
        <f aca="false">Spec_Rack!G34*1.3</f>
        <v>23.4</v>
      </c>
      <c r="M163" s="36" t="s">
        <v>3465</v>
      </c>
      <c r="N163" s="6" t="s">
        <v>3594</v>
      </c>
      <c r="O163" s="6" t="s">
        <v>587</v>
      </c>
      <c r="P163" s="215" t="s">
        <v>3188</v>
      </c>
      <c r="Q163" s="41" t="n">
        <f aca="false">Spec_Rack!G34</f>
        <v>18</v>
      </c>
      <c r="R163" s="36" t="s">
        <v>587</v>
      </c>
      <c r="S163" s="35" t="str">
        <f aca="false">IF(ISNUMBER($AF163),INDEX(IDX_SrcStat,$AF163),"—")</f>
        <v>—</v>
      </c>
      <c r="T163" s="35" t="str">
        <f aca="false">IF(ISNUMBER($AF163),INDEX(IDX_SrcGrade,$AF163),"—")</f>
        <v>—</v>
      </c>
      <c r="U163" s="35" t="s">
        <v>3189</v>
      </c>
      <c r="V163" s="186" t="n">
        <f aca="false">IF(AND($F163="原始數據",$U163&lt;&gt;"連結 SRC"),1,0)</f>
        <v>0</v>
      </c>
      <c r="W163" s="186" t="n">
        <f aca="false">IF(AND($F163="Analogy",OR($H163="—",$H163="")),1,0)</f>
        <v>0</v>
      </c>
      <c r="X163" s="186" t="n">
        <f aca="false">IF(AND(OR($F163="Analogy",$F163="Assumed"),$G163&lt;&gt;"低",$G163&lt;&gt;"高",NOT(ISNUMBER($K163)),NOT(ISNUMBER($L163)),OR($M163="—",$M163="")),1,0)</f>
        <v>0</v>
      </c>
      <c r="Y163" s="186" t="n">
        <f aca="false">IF(AND(OR($F163="Analogy",$F163="Assumed",$F163="Derived（待改公式）",$F163="Derived（公式）"),OR($N163="—",$N163="",$N163=0)),1,0)</f>
        <v>0</v>
      </c>
      <c r="Z163" s="186" t="n">
        <f aca="false">IF(AND($F163="Decision",OR($J163="—",$J163="")),1,0)</f>
        <v>0</v>
      </c>
      <c r="AA163" s="183" t="n">
        <f aca="false">IF(OR($J163="—",$J163=""),0,IF(COUNTIF(Decisions!$A$5:$A$300,$J163)=0,1,0))</f>
        <v>0</v>
      </c>
      <c r="AB163" s="186" t="n">
        <f aca="false">IF(AND($F163="原始數據",$S163&lt;&gt;"Active"),1,0)</f>
        <v>0</v>
      </c>
      <c r="AC163" s="186" t="n">
        <f aca="false">IF(AND(ISNUMBER($K163),ISNUMBER($L163),ISNUMBER($Q163)),IF(OR($Q163&lt;MIN($K163,$L163),$Q163&gt;MAX($K163,$L163)),1,0),0)</f>
        <v>0</v>
      </c>
      <c r="AD163" s="186" t="n">
        <f aca="false">IF(AND(ISNUMBER($T163),$P163="高"),IF($T163=3,1,0),0)</f>
        <v>0</v>
      </c>
      <c r="AE163" s="186" t="n">
        <f aca="false">IF($S163="不存在",1,0)</f>
        <v>0</v>
      </c>
      <c r="AF163" s="35" t="str">
        <f aca="false">IF(OR($H163="—",$H163=""),"—",MATCH($H163,IDX_SrcID,0))</f>
        <v>—</v>
      </c>
      <c r="AG163" s="104" t="n">
        <f aca="false">IF(AND($P163="高",OR($AD163=1,$X163=1)),1,0)</f>
        <v>0</v>
      </c>
      <c r="AH163" s="104" t="n">
        <f aca="false">IF(AND($P163="高",$AG163=0,OR($F163&lt;&gt;"原始數據",$T163&lt;&gt;1)),1,0)</f>
        <v>0</v>
      </c>
      <c r="AI163" s="53" t="str">
        <f aca="false">IF(AND($P163="高",ISNUMBER($AF163)),INDEX(IDX_SrcDate,$AF163),"—")</f>
        <v>—</v>
      </c>
      <c r="AJ163" s="104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6" t="s">
        <v>3618</v>
      </c>
      <c r="B164" s="215" t="s">
        <v>3183</v>
      </c>
      <c r="C164" s="36" t="s">
        <v>3341</v>
      </c>
      <c r="D164" s="36" t="s">
        <v>3619</v>
      </c>
      <c r="E164" s="6" t="s">
        <v>219</v>
      </c>
      <c r="F164" s="215" t="s">
        <v>298</v>
      </c>
      <c r="G164" s="215" t="s">
        <v>3185</v>
      </c>
      <c r="H164" s="36" t="s">
        <v>3620</v>
      </c>
      <c r="I164" s="19" t="s">
        <v>3220</v>
      </c>
      <c r="J164" s="36" t="s">
        <v>587</v>
      </c>
      <c r="K164" s="215"/>
      <c r="L164" s="215"/>
      <c r="M164" s="36" t="s">
        <v>587</v>
      </c>
      <c r="N164" s="19" t="s">
        <v>3318</v>
      </c>
      <c r="O164" s="6" t="s">
        <v>587</v>
      </c>
      <c r="P164" s="215" t="s">
        <v>3188</v>
      </c>
      <c r="Q164" s="38" t="n">
        <f aca="false">Spec_Rack!C39</f>
        <v>0.989</v>
      </c>
      <c r="R164" s="185" t="n">
        <f aca="false">SRC_HW_019</f>
        <v>0.989</v>
      </c>
      <c r="S164" s="35" t="str">
        <f aca="false">IF(ISNUMBER($AF164),INDEX(IDX_SrcStat,$AF164),"—")</f>
        <v>Active</v>
      </c>
      <c r="T164" s="35" t="n">
        <f aca="false">IF(ISNUMBER($AF164),INDEX(IDX_SrcGrade,$AF164),"—")</f>
        <v>3</v>
      </c>
      <c r="U164" s="35" t="s">
        <v>3222</v>
      </c>
      <c r="V164" s="186" t="n">
        <f aca="false">IF(AND($F164="原始數據",$U164&lt;&gt;"連結 SRC"),1,0)</f>
        <v>0</v>
      </c>
      <c r="W164" s="186" t="n">
        <f aca="false">IF(AND($F164="Analogy",OR($H164="—",$H164="")),1,0)</f>
        <v>0</v>
      </c>
      <c r="X164" s="186" t="n">
        <f aca="false">IF(AND(OR($F164="Analogy",$F164="Assumed"),$G164&lt;&gt;"低",$G164&lt;&gt;"高",NOT(ISNUMBER($K164)),NOT(ISNUMBER($L164)),OR($M164="—",$M164="")),1,0)</f>
        <v>0</v>
      </c>
      <c r="Y164" s="186" t="n">
        <f aca="false">IF(AND(OR($F164="Analogy",$F164="Assumed",$F164="Derived（待改公式）",$F164="Derived（公式）"),OR($N164="—",$N164="",$N164=0)),1,0)</f>
        <v>0</v>
      </c>
      <c r="Z164" s="186" t="n">
        <f aca="false">IF(AND($F164="Decision",OR($J164="—",$J164="")),1,0)</f>
        <v>0</v>
      </c>
      <c r="AA164" s="183" t="n">
        <f aca="false">IF(OR($J164="—",$J164=""),0,IF(COUNTIF(Decisions!$A$5:$A$300,$J164)=0,1,0))</f>
        <v>0</v>
      </c>
      <c r="AB164" s="186" t="n">
        <f aca="false">IF(AND($F164="原始數據",$S164&lt;&gt;"Active"),1,0)</f>
        <v>0</v>
      </c>
      <c r="AC164" s="186" t="n">
        <f aca="false">IF(AND(ISNUMBER($K164),ISNUMBER($L164),ISNUMBER($Q164)),IF(OR($Q164&lt;MIN($K164,$L164),$Q164&gt;MAX($K164,$L164)),1,0),0)</f>
        <v>0</v>
      </c>
      <c r="AD164" s="186" t="n">
        <f aca="false">IF(AND(ISNUMBER($T164),$P164="高"),IF($T164=3,1,0),0)</f>
        <v>0</v>
      </c>
      <c r="AE164" s="186" t="n">
        <f aca="false">IF($S164="不存在",1,0)</f>
        <v>0</v>
      </c>
      <c r="AF164" s="35" t="n">
        <f aca="false">IF(OR($H164="—",$H164=""),"—",MATCH($H164,IDX_SrcID,0))</f>
        <v>19</v>
      </c>
      <c r="AG164" s="104" t="n">
        <f aca="false">IF(AND($P164="高",OR($AD164=1,$X164=1)),1,0)</f>
        <v>0</v>
      </c>
      <c r="AH164" s="104" t="n">
        <f aca="false">IF(AND($P164="高",$AG164=0,OR($F164&lt;&gt;"原始數據",$T164&lt;&gt;1)),1,0)</f>
        <v>0</v>
      </c>
      <c r="AI164" s="53" t="str">
        <f aca="false">IF(AND($P164="高",ISNUMBER($AF164)),INDEX(IDX_SrcDate,$AF164),"—")</f>
        <v>—</v>
      </c>
      <c r="AJ164" s="104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6" t="s">
        <v>3621</v>
      </c>
      <c r="B165" s="215" t="s">
        <v>3183</v>
      </c>
      <c r="C165" s="36" t="s">
        <v>3341</v>
      </c>
      <c r="D165" s="36" t="s">
        <v>3622</v>
      </c>
      <c r="E165" s="6" t="s">
        <v>219</v>
      </c>
      <c r="F165" s="215" t="s">
        <v>298</v>
      </c>
      <c r="G165" s="215" t="s">
        <v>3185</v>
      </c>
      <c r="H165" s="36" t="s">
        <v>3623</v>
      </c>
      <c r="I165" s="19" t="s">
        <v>3220</v>
      </c>
      <c r="J165" s="36" t="s">
        <v>587</v>
      </c>
      <c r="K165" s="215"/>
      <c r="L165" s="215"/>
      <c r="M165" s="36" t="s">
        <v>587</v>
      </c>
      <c r="N165" s="19" t="s">
        <v>3318</v>
      </c>
      <c r="O165" s="6" t="s">
        <v>587</v>
      </c>
      <c r="P165" s="215" t="s">
        <v>3188</v>
      </c>
      <c r="Q165" s="38" t="n">
        <f aca="false">Spec_Rack!D39</f>
        <v>2.5</v>
      </c>
      <c r="R165" s="185" t="n">
        <f aca="false">SRC_HW_042</f>
        <v>2.5</v>
      </c>
      <c r="S165" s="35" t="str">
        <f aca="false">IF(ISNUMBER($AF165),INDEX(IDX_SrcStat,$AF165),"—")</f>
        <v>Active</v>
      </c>
      <c r="T165" s="35" t="n">
        <f aca="false">IF(ISNUMBER($AF165),INDEX(IDX_SrcGrade,$AF165),"—")</f>
        <v>3</v>
      </c>
      <c r="U165" s="35" t="s">
        <v>3222</v>
      </c>
      <c r="V165" s="186" t="n">
        <f aca="false">IF(AND($F165="原始數據",$U165&lt;&gt;"連結 SRC"),1,0)</f>
        <v>0</v>
      </c>
      <c r="W165" s="186" t="n">
        <f aca="false">IF(AND($F165="Analogy",OR($H165="—",$H165="")),1,0)</f>
        <v>0</v>
      </c>
      <c r="X165" s="186" t="n">
        <f aca="false">IF(AND(OR($F165="Analogy",$F165="Assumed"),$G165&lt;&gt;"低",$G165&lt;&gt;"高",NOT(ISNUMBER($K165)),NOT(ISNUMBER($L165)),OR($M165="—",$M165="")),1,0)</f>
        <v>0</v>
      </c>
      <c r="Y165" s="186" t="n">
        <f aca="false">IF(AND(OR($F165="Analogy",$F165="Assumed",$F165="Derived（待改公式）",$F165="Derived（公式）"),OR($N165="—",$N165="",$N165=0)),1,0)</f>
        <v>0</v>
      </c>
      <c r="Z165" s="186" t="n">
        <f aca="false">IF(AND($F165="Decision",OR($J165="—",$J165="")),1,0)</f>
        <v>0</v>
      </c>
      <c r="AA165" s="183" t="n">
        <f aca="false">IF(OR($J165="—",$J165=""),0,IF(COUNTIF(Decisions!$A$5:$A$300,$J165)=0,1,0))</f>
        <v>0</v>
      </c>
      <c r="AB165" s="186" t="n">
        <f aca="false">IF(AND($F165="原始數據",$S165&lt;&gt;"Active"),1,0)</f>
        <v>0</v>
      </c>
      <c r="AC165" s="186" t="n">
        <f aca="false">IF(AND(ISNUMBER($K165),ISNUMBER($L165),ISNUMBER($Q165)),IF(OR($Q165&lt;MIN($K165,$L165),$Q165&gt;MAX($K165,$L165)),1,0),0)</f>
        <v>0</v>
      </c>
      <c r="AD165" s="186" t="n">
        <f aca="false">IF(AND(ISNUMBER($T165),$P165="高"),IF($T165=3,1,0),0)</f>
        <v>0</v>
      </c>
      <c r="AE165" s="186" t="n">
        <f aca="false">IF($S165="不存在",1,0)</f>
        <v>0</v>
      </c>
      <c r="AF165" s="35" t="n">
        <f aca="false">IF(OR($H165="—",$H165=""),"—",MATCH($H165,IDX_SrcID,0))</f>
        <v>42</v>
      </c>
      <c r="AG165" s="104" t="n">
        <f aca="false">IF(AND($P165="高",OR($AD165=1,$X165=1)),1,0)</f>
        <v>0</v>
      </c>
      <c r="AH165" s="104" t="n">
        <f aca="false">IF(AND($P165="高",$AG165=0,OR($F165&lt;&gt;"原始數據",$T165&lt;&gt;1)),1,0)</f>
        <v>0</v>
      </c>
      <c r="AI165" s="53" t="str">
        <f aca="false">IF(AND($P165="高",ISNUMBER($AF165)),INDEX(IDX_SrcDate,$AF165),"—")</f>
        <v>—</v>
      </c>
      <c r="AJ165" s="104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6" t="s">
        <v>3624</v>
      </c>
      <c r="B166" s="215" t="s">
        <v>3183</v>
      </c>
      <c r="C166" s="36" t="s">
        <v>3341</v>
      </c>
      <c r="D166" s="36" t="s">
        <v>3625</v>
      </c>
      <c r="E166" s="6" t="s">
        <v>219</v>
      </c>
      <c r="F166" s="215" t="s">
        <v>298</v>
      </c>
      <c r="G166" s="215" t="s">
        <v>3185</v>
      </c>
      <c r="H166" s="36" t="s">
        <v>3623</v>
      </c>
      <c r="I166" s="19" t="s">
        <v>3220</v>
      </c>
      <c r="J166" s="36" t="s">
        <v>587</v>
      </c>
      <c r="K166" s="215"/>
      <c r="L166" s="215"/>
      <c r="M166" s="36" t="s">
        <v>587</v>
      </c>
      <c r="N166" s="19" t="s">
        <v>3318</v>
      </c>
      <c r="O166" s="6" t="s">
        <v>587</v>
      </c>
      <c r="P166" s="215" t="s">
        <v>3188</v>
      </c>
      <c r="Q166" s="38" t="n">
        <f aca="false">Spec_Rack!E39</f>
        <v>2.5</v>
      </c>
      <c r="R166" s="185" t="n">
        <f aca="false">SRC_HW_042</f>
        <v>2.5</v>
      </c>
      <c r="S166" s="35" t="str">
        <f aca="false">IF(ISNUMBER($AF166),INDEX(IDX_SrcStat,$AF166),"—")</f>
        <v>Active</v>
      </c>
      <c r="T166" s="35" t="n">
        <f aca="false">IF(ISNUMBER($AF166),INDEX(IDX_SrcGrade,$AF166),"—")</f>
        <v>3</v>
      </c>
      <c r="U166" s="35" t="s">
        <v>3222</v>
      </c>
      <c r="V166" s="186" t="n">
        <f aca="false">IF(AND($F166="原始數據",$U166&lt;&gt;"連結 SRC"),1,0)</f>
        <v>0</v>
      </c>
      <c r="W166" s="186" t="n">
        <f aca="false">IF(AND($F166="Analogy",OR($H166="—",$H166="")),1,0)</f>
        <v>0</v>
      </c>
      <c r="X166" s="186" t="n">
        <f aca="false">IF(AND(OR($F166="Analogy",$F166="Assumed"),$G166&lt;&gt;"低",$G166&lt;&gt;"高",NOT(ISNUMBER($K166)),NOT(ISNUMBER($L166)),OR($M166="—",$M166="")),1,0)</f>
        <v>0</v>
      </c>
      <c r="Y166" s="186" t="n">
        <f aca="false">IF(AND(OR($F166="Analogy",$F166="Assumed",$F166="Derived（待改公式）",$F166="Derived（公式）"),OR($N166="—",$N166="",$N166=0)),1,0)</f>
        <v>0</v>
      </c>
      <c r="Z166" s="186" t="n">
        <f aca="false">IF(AND($F166="Decision",OR($J166="—",$J166="")),1,0)</f>
        <v>0</v>
      </c>
      <c r="AA166" s="183" t="n">
        <f aca="false">IF(OR($J166="—",$J166=""),0,IF(COUNTIF(Decisions!$A$5:$A$300,$J166)=0,1,0))</f>
        <v>0</v>
      </c>
      <c r="AB166" s="186" t="n">
        <f aca="false">IF(AND($F166="原始數據",$S166&lt;&gt;"Active"),1,0)</f>
        <v>0</v>
      </c>
      <c r="AC166" s="186" t="n">
        <f aca="false">IF(AND(ISNUMBER($K166),ISNUMBER($L166),ISNUMBER($Q166)),IF(OR($Q166&lt;MIN($K166,$L166),$Q166&gt;MAX($K166,$L166)),1,0),0)</f>
        <v>0</v>
      </c>
      <c r="AD166" s="186" t="n">
        <f aca="false">IF(AND(ISNUMBER($T166),$P166="高"),IF($T166=3,1,0),0)</f>
        <v>0</v>
      </c>
      <c r="AE166" s="186" t="n">
        <f aca="false">IF($S166="不存在",1,0)</f>
        <v>0</v>
      </c>
      <c r="AF166" s="35" t="n">
        <f aca="false">IF(OR($H166="—",$H166=""),"—",MATCH($H166,IDX_SrcID,0))</f>
        <v>42</v>
      </c>
      <c r="AG166" s="104" t="n">
        <f aca="false">IF(AND($P166="高",OR($AD166=1,$X166=1)),1,0)</f>
        <v>0</v>
      </c>
      <c r="AH166" s="104" t="n">
        <f aca="false">IF(AND($P166="高",$AG166=0,OR($F166&lt;&gt;"原始數據",$T166&lt;&gt;1)),1,0)</f>
        <v>0</v>
      </c>
      <c r="AI166" s="53" t="str">
        <f aca="false">IF(AND($P166="高",ISNUMBER($AF166)),INDEX(IDX_SrcDate,$AF166),"—")</f>
        <v>—</v>
      </c>
      <c r="AJ166" s="104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6" t="s">
        <v>3626</v>
      </c>
      <c r="B167" s="215" t="s">
        <v>3183</v>
      </c>
      <c r="C167" s="36" t="s">
        <v>3341</v>
      </c>
      <c r="D167" s="36" t="s">
        <v>3627</v>
      </c>
      <c r="E167" s="6" t="s">
        <v>219</v>
      </c>
      <c r="F167" s="215" t="s">
        <v>298</v>
      </c>
      <c r="G167" s="215" t="s">
        <v>3185</v>
      </c>
      <c r="H167" s="36" t="s">
        <v>3628</v>
      </c>
      <c r="I167" s="19" t="s">
        <v>3519</v>
      </c>
      <c r="J167" s="36" t="s">
        <v>587</v>
      </c>
      <c r="K167" s="215"/>
      <c r="L167" s="215"/>
      <c r="M167" s="36" t="s">
        <v>587</v>
      </c>
      <c r="N167" s="19" t="s">
        <v>3318</v>
      </c>
      <c r="O167" s="6" t="s">
        <v>587</v>
      </c>
      <c r="P167" s="215" t="s">
        <v>3188</v>
      </c>
      <c r="Q167" s="38" t="n">
        <f aca="false">Spec_Rack!F39</f>
        <v>4</v>
      </c>
      <c r="R167" s="185" t="n">
        <f aca="false">SRC_HW_039</f>
        <v>288</v>
      </c>
      <c r="S167" s="35" t="str">
        <f aca="false">IF(ISNUMBER($AF167),INDEX(IDX_SrcStat,$AF167),"—")</f>
        <v>Active</v>
      </c>
      <c r="T167" s="35" t="n">
        <f aca="false">IF(ISNUMBER($AF167),INDEX(IDX_SrcGrade,$AF167),"—")</f>
        <v>2</v>
      </c>
      <c r="U167" s="35" t="s">
        <v>3222</v>
      </c>
      <c r="V167" s="186" t="n">
        <f aca="false">IF(AND($F167="原始數據",$U167&lt;&gt;"連結 SRC"),1,0)</f>
        <v>0</v>
      </c>
      <c r="W167" s="186" t="n">
        <f aca="false">IF(AND($F167="Analogy",OR($H167="—",$H167="")),1,0)</f>
        <v>0</v>
      </c>
      <c r="X167" s="186" t="n">
        <f aca="false">IF(AND(OR($F167="Analogy",$F167="Assumed"),$G167&lt;&gt;"低",$G167&lt;&gt;"高",NOT(ISNUMBER($K167)),NOT(ISNUMBER($L167)),OR($M167="—",$M167="")),1,0)</f>
        <v>0</v>
      </c>
      <c r="Y167" s="186" t="n">
        <f aca="false">IF(AND(OR($F167="Analogy",$F167="Assumed",$F167="Derived（待改公式）",$F167="Derived（公式）"),OR($N167="—",$N167="",$N167=0)),1,0)</f>
        <v>0</v>
      </c>
      <c r="Z167" s="186" t="n">
        <f aca="false">IF(AND($F167="Decision",OR($J167="—",$J167="")),1,0)</f>
        <v>0</v>
      </c>
      <c r="AA167" s="183" t="n">
        <f aca="false">IF(OR($J167="—",$J167=""),0,IF(COUNTIF(Decisions!$A$5:$A$300,$J167)=0,1,0))</f>
        <v>0</v>
      </c>
      <c r="AB167" s="186" t="n">
        <f aca="false">IF(AND($F167="原始數據",$S167&lt;&gt;"Active"),1,0)</f>
        <v>0</v>
      </c>
      <c r="AC167" s="186" t="n">
        <f aca="false">IF(AND(ISNUMBER($K167),ISNUMBER($L167),ISNUMBER($Q167)),IF(OR($Q167&lt;MIN($K167,$L167),$Q167&gt;MAX($K167,$L167)),1,0),0)</f>
        <v>0</v>
      </c>
      <c r="AD167" s="186" t="n">
        <f aca="false">IF(AND(ISNUMBER($T167),$P167="高"),IF($T167=3,1,0),0)</f>
        <v>0</v>
      </c>
      <c r="AE167" s="186" t="n">
        <f aca="false">IF($S167="不存在",1,0)</f>
        <v>0</v>
      </c>
      <c r="AF167" s="35" t="n">
        <f aca="false">IF(OR($H167="—",$H167=""),"—",MATCH($H167,IDX_SrcID,0))</f>
        <v>39</v>
      </c>
      <c r="AG167" s="104" t="n">
        <f aca="false">IF(AND($P167="高",OR($AD167=1,$X167=1)),1,0)</f>
        <v>0</v>
      </c>
      <c r="AH167" s="104" t="n">
        <f aca="false">IF(AND($P167="高",$AG167=0,OR($F167&lt;&gt;"原始數據",$T167&lt;&gt;1)),1,0)</f>
        <v>0</v>
      </c>
      <c r="AI167" s="53" t="str">
        <f aca="false">IF(AND($P167="高",ISNUMBER($AF167)),INDEX(IDX_SrcDate,$AF167),"—")</f>
        <v>—</v>
      </c>
      <c r="AJ167" s="104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6" t="s">
        <v>3629</v>
      </c>
      <c r="B168" s="215" t="s">
        <v>3183</v>
      </c>
      <c r="C168" s="36" t="s">
        <v>3341</v>
      </c>
      <c r="D168" s="36" t="s">
        <v>3630</v>
      </c>
      <c r="E168" s="6" t="s">
        <v>219</v>
      </c>
      <c r="F168" s="36" t="s">
        <v>80</v>
      </c>
      <c r="G168" s="215" t="s">
        <v>65</v>
      </c>
      <c r="H168" s="36" t="s">
        <v>587</v>
      </c>
      <c r="I168" s="6" t="s">
        <v>587</v>
      </c>
      <c r="J168" s="36" t="s">
        <v>587</v>
      </c>
      <c r="K168" s="185" t="n">
        <f aca="false">Spec_Rack!G39*0.7</f>
        <v>5.6</v>
      </c>
      <c r="L168" s="185" t="n">
        <f aca="false">Spec_Rack!G39*1.3</f>
        <v>10.4</v>
      </c>
      <c r="M168" s="36" t="s">
        <v>3465</v>
      </c>
      <c r="N168" s="6" t="s">
        <v>3594</v>
      </c>
      <c r="O168" s="6" t="s">
        <v>587</v>
      </c>
      <c r="P168" s="215" t="s">
        <v>3188</v>
      </c>
      <c r="Q168" s="38" t="n">
        <f aca="false">Spec_Rack!G39</f>
        <v>8</v>
      </c>
      <c r="R168" s="36" t="s">
        <v>587</v>
      </c>
      <c r="S168" s="35" t="str">
        <f aca="false">IF(ISNUMBER($AF168),INDEX(IDX_SrcStat,$AF168),"—")</f>
        <v>—</v>
      </c>
      <c r="T168" s="35" t="str">
        <f aca="false">IF(ISNUMBER($AF168),INDEX(IDX_SrcGrade,$AF168),"—")</f>
        <v>—</v>
      </c>
      <c r="U168" s="35" t="s">
        <v>3189</v>
      </c>
      <c r="V168" s="186" t="n">
        <f aca="false">IF(AND($F168="原始數據",$U168&lt;&gt;"連結 SRC"),1,0)</f>
        <v>0</v>
      </c>
      <c r="W168" s="186" t="n">
        <f aca="false">IF(AND($F168="Analogy",OR($H168="—",$H168="")),1,0)</f>
        <v>0</v>
      </c>
      <c r="X168" s="186" t="n">
        <f aca="false">IF(AND(OR($F168="Analogy",$F168="Assumed"),$G168&lt;&gt;"低",$G168&lt;&gt;"高",NOT(ISNUMBER($K168)),NOT(ISNUMBER($L168)),OR($M168="—",$M168="")),1,0)</f>
        <v>0</v>
      </c>
      <c r="Y168" s="186" t="n">
        <f aca="false">IF(AND(OR($F168="Analogy",$F168="Assumed",$F168="Derived（待改公式）",$F168="Derived（公式）"),OR($N168="—",$N168="",$N168=0)),1,0)</f>
        <v>0</v>
      </c>
      <c r="Z168" s="186" t="n">
        <f aca="false">IF(AND($F168="Decision",OR($J168="—",$J168="")),1,0)</f>
        <v>0</v>
      </c>
      <c r="AA168" s="183" t="n">
        <f aca="false">IF(OR($J168="—",$J168=""),0,IF(COUNTIF(Decisions!$A$5:$A$300,$J168)=0,1,0))</f>
        <v>0</v>
      </c>
      <c r="AB168" s="186" t="n">
        <f aca="false">IF(AND($F168="原始數據",$S168&lt;&gt;"Active"),1,0)</f>
        <v>0</v>
      </c>
      <c r="AC168" s="186" t="n">
        <f aca="false">IF(AND(ISNUMBER($K168),ISNUMBER($L168),ISNUMBER($Q168)),IF(OR($Q168&lt;MIN($K168,$L168),$Q168&gt;MAX($K168,$L168)),1,0),0)</f>
        <v>0</v>
      </c>
      <c r="AD168" s="186" t="n">
        <f aca="false">IF(AND(ISNUMBER($T168),$P168="高"),IF($T168=3,1,0),0)</f>
        <v>0</v>
      </c>
      <c r="AE168" s="186" t="n">
        <f aca="false">IF($S168="不存在",1,0)</f>
        <v>0</v>
      </c>
      <c r="AF168" s="35" t="str">
        <f aca="false">IF(OR($H168="—",$H168=""),"—",MATCH($H168,IDX_SrcID,0))</f>
        <v>—</v>
      </c>
      <c r="AG168" s="104" t="n">
        <f aca="false">IF(AND($P168="高",OR($AD168=1,$X168=1)),1,0)</f>
        <v>0</v>
      </c>
      <c r="AH168" s="104" t="n">
        <f aca="false">IF(AND($P168="高",$AG168=0,OR($F168&lt;&gt;"原始數據",$T168&lt;&gt;1)),1,0)</f>
        <v>0</v>
      </c>
      <c r="AI168" s="53" t="str">
        <f aca="false">IF(AND($P168="高",ISNUMBER($AF168)),INDEX(IDX_SrcDate,$AF168),"—")</f>
        <v>—</v>
      </c>
      <c r="AJ168" s="104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6" t="s">
        <v>3631</v>
      </c>
      <c r="B169" s="215" t="s">
        <v>3183</v>
      </c>
      <c r="C169" s="36" t="s">
        <v>3341</v>
      </c>
      <c r="D169" s="36" t="s">
        <v>3632</v>
      </c>
      <c r="E169" s="6" t="s">
        <v>221</v>
      </c>
      <c r="F169" s="215" t="s">
        <v>298</v>
      </c>
      <c r="G169" s="215" t="s">
        <v>3185</v>
      </c>
      <c r="H169" s="36" t="s">
        <v>3454</v>
      </c>
      <c r="I169" s="19" t="s">
        <v>3220</v>
      </c>
      <c r="J169" s="36" t="s">
        <v>587</v>
      </c>
      <c r="K169" s="215"/>
      <c r="L169" s="215"/>
      <c r="M169" s="36" t="s">
        <v>587</v>
      </c>
      <c r="N169" s="19" t="s">
        <v>3406</v>
      </c>
      <c r="O169" s="6" t="s">
        <v>587</v>
      </c>
      <c r="P169" s="215" t="s">
        <v>3188</v>
      </c>
      <c r="Q169" s="38" t="n">
        <f aca="false">Spec_Rack!C40</f>
        <v>1.979</v>
      </c>
      <c r="R169" s="185" t="n">
        <f aca="false">SRC_HW_040</f>
        <v>1.979</v>
      </c>
      <c r="S169" s="35" t="str">
        <f aca="false">IF(ISNUMBER($AF169),INDEX(IDX_SrcStat,$AF169),"—")</f>
        <v>Active</v>
      </c>
      <c r="T169" s="35" t="n">
        <f aca="false">IF(ISNUMBER($AF169),INDEX(IDX_SrcGrade,$AF169),"—")</f>
        <v>1</v>
      </c>
      <c r="U169" s="35" t="s">
        <v>3222</v>
      </c>
      <c r="V169" s="186" t="n">
        <f aca="false">IF(AND($F169="原始數據",$U169&lt;&gt;"連結 SRC"),1,0)</f>
        <v>0</v>
      </c>
      <c r="W169" s="186" t="n">
        <f aca="false">IF(AND($F169="Analogy",OR($H169="—",$H169="")),1,0)</f>
        <v>0</v>
      </c>
      <c r="X169" s="186" t="n">
        <f aca="false">IF(AND(OR($F169="Analogy",$F169="Assumed"),$G169&lt;&gt;"低",$G169&lt;&gt;"高",NOT(ISNUMBER($K169)),NOT(ISNUMBER($L169)),OR($M169="—",$M169="")),1,0)</f>
        <v>0</v>
      </c>
      <c r="Y169" s="186" t="n">
        <f aca="false">IF(AND(OR($F169="Analogy",$F169="Assumed",$F169="Derived（待改公式）",$F169="Derived（公式）"),OR($N169="—",$N169="",$N169=0)),1,0)</f>
        <v>0</v>
      </c>
      <c r="Z169" s="186" t="n">
        <f aca="false">IF(AND($F169="Decision",OR($J169="—",$J169="")),1,0)</f>
        <v>0</v>
      </c>
      <c r="AA169" s="183" t="n">
        <f aca="false">IF(OR($J169="—",$J169=""),0,IF(COUNTIF(Decisions!$A$5:$A$300,$J169)=0,1,0))</f>
        <v>0</v>
      </c>
      <c r="AB169" s="186" t="n">
        <f aca="false">IF(AND($F169="原始數據",$S169&lt;&gt;"Active"),1,0)</f>
        <v>0</v>
      </c>
      <c r="AC169" s="186" t="n">
        <f aca="false">IF(AND(ISNUMBER($K169),ISNUMBER($L169),ISNUMBER($Q169)),IF(OR($Q169&lt;MIN($K169,$L169),$Q169&gt;MAX($K169,$L169)),1,0),0)</f>
        <v>0</v>
      </c>
      <c r="AD169" s="186" t="n">
        <f aca="false">IF(AND(ISNUMBER($T169),$P169="高"),IF($T169=3,1,0),0)</f>
        <v>0</v>
      </c>
      <c r="AE169" s="186" t="n">
        <f aca="false">IF($S169="不存在",1,0)</f>
        <v>0</v>
      </c>
      <c r="AF169" s="35" t="n">
        <f aca="false">IF(OR($H169="—",$H169=""),"—",MATCH($H169,IDX_SrcID,0))</f>
        <v>40</v>
      </c>
      <c r="AG169" s="104" t="n">
        <f aca="false">IF(AND($P169="高",OR($AD169=1,$X169=1)),1,0)</f>
        <v>0</v>
      </c>
      <c r="AH169" s="104" t="n">
        <f aca="false">IF(AND($P169="高",$AG169=0,OR($F169&lt;&gt;"原始數據",$T169&lt;&gt;1)),1,0)</f>
        <v>0</v>
      </c>
      <c r="AI169" s="53" t="str">
        <f aca="false">IF(AND($P169="高",ISNUMBER($AF169)),INDEX(IDX_SrcDate,$AF169),"—")</f>
        <v>—</v>
      </c>
      <c r="AJ169" s="104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6" t="s">
        <v>3633</v>
      </c>
      <c r="B170" s="215" t="s">
        <v>3183</v>
      </c>
      <c r="C170" s="36" t="s">
        <v>3341</v>
      </c>
      <c r="D170" s="36" t="s">
        <v>3634</v>
      </c>
      <c r="E170" s="6" t="s">
        <v>221</v>
      </c>
      <c r="F170" s="215" t="s">
        <v>298</v>
      </c>
      <c r="G170" s="215" t="s">
        <v>3185</v>
      </c>
      <c r="H170" s="36" t="s">
        <v>3635</v>
      </c>
      <c r="I170" s="19" t="s">
        <v>3220</v>
      </c>
      <c r="J170" s="36" t="s">
        <v>587</v>
      </c>
      <c r="K170" s="215"/>
      <c r="L170" s="215"/>
      <c r="M170" s="36" t="s">
        <v>587</v>
      </c>
      <c r="N170" s="19" t="s">
        <v>3406</v>
      </c>
      <c r="O170" s="6" t="s">
        <v>587</v>
      </c>
      <c r="P170" s="215" t="s">
        <v>3188</v>
      </c>
      <c r="Q170" s="38" t="n">
        <f aca="false">Spec_Rack!D40</f>
        <v>5</v>
      </c>
      <c r="R170" s="185" t="n">
        <f aca="false">SRC_HW_043</f>
        <v>5</v>
      </c>
      <c r="S170" s="35" t="str">
        <f aca="false">IF(ISNUMBER($AF170),INDEX(IDX_SrcStat,$AF170),"—")</f>
        <v>Active</v>
      </c>
      <c r="T170" s="35" t="n">
        <f aca="false">IF(ISNUMBER($AF170),INDEX(IDX_SrcGrade,$AF170),"—")</f>
        <v>1</v>
      </c>
      <c r="U170" s="35" t="s">
        <v>3222</v>
      </c>
      <c r="V170" s="186" t="n">
        <f aca="false">IF(AND($F170="原始數據",$U170&lt;&gt;"連結 SRC"),1,0)</f>
        <v>0</v>
      </c>
      <c r="W170" s="186" t="n">
        <f aca="false">IF(AND($F170="Analogy",OR($H170="—",$H170="")),1,0)</f>
        <v>0</v>
      </c>
      <c r="X170" s="186" t="n">
        <f aca="false">IF(AND(OR($F170="Analogy",$F170="Assumed"),$G170&lt;&gt;"低",$G170&lt;&gt;"高",NOT(ISNUMBER($K170)),NOT(ISNUMBER($L170)),OR($M170="—",$M170="")),1,0)</f>
        <v>0</v>
      </c>
      <c r="Y170" s="186" t="n">
        <f aca="false">IF(AND(OR($F170="Analogy",$F170="Assumed",$F170="Derived（待改公式）",$F170="Derived（公式）"),OR($N170="—",$N170="",$N170=0)),1,0)</f>
        <v>0</v>
      </c>
      <c r="Z170" s="186" t="n">
        <f aca="false">IF(AND($F170="Decision",OR($J170="—",$J170="")),1,0)</f>
        <v>0</v>
      </c>
      <c r="AA170" s="183" t="n">
        <f aca="false">IF(OR($J170="—",$J170=""),0,IF(COUNTIF(Decisions!$A$5:$A$300,$J170)=0,1,0))</f>
        <v>0</v>
      </c>
      <c r="AB170" s="186" t="n">
        <f aca="false">IF(AND($F170="原始數據",$S170&lt;&gt;"Active"),1,0)</f>
        <v>0</v>
      </c>
      <c r="AC170" s="186" t="n">
        <f aca="false">IF(AND(ISNUMBER($K170),ISNUMBER($L170),ISNUMBER($Q170)),IF(OR($Q170&lt;MIN($K170,$L170),$Q170&gt;MAX($K170,$L170)),1,0),0)</f>
        <v>0</v>
      </c>
      <c r="AD170" s="186" t="n">
        <f aca="false">IF(AND(ISNUMBER($T170),$P170="高"),IF($T170=3,1,0),0)</f>
        <v>0</v>
      </c>
      <c r="AE170" s="186" t="n">
        <f aca="false">IF($S170="不存在",1,0)</f>
        <v>0</v>
      </c>
      <c r="AF170" s="35" t="n">
        <f aca="false">IF(OR($H170="—",$H170=""),"—",MATCH($H170,IDX_SrcID,0))</f>
        <v>43</v>
      </c>
      <c r="AG170" s="104" t="n">
        <f aca="false">IF(AND($P170="高",OR($AD170=1,$X170=1)),1,0)</f>
        <v>0</v>
      </c>
      <c r="AH170" s="104" t="n">
        <f aca="false">IF(AND($P170="高",$AG170=0,OR($F170&lt;&gt;"原始數據",$T170&lt;&gt;1)),1,0)</f>
        <v>0</v>
      </c>
      <c r="AI170" s="53" t="str">
        <f aca="false">IF(AND($P170="高",ISNUMBER($AF170)),INDEX(IDX_SrcDate,$AF170),"—")</f>
        <v>—</v>
      </c>
      <c r="AJ170" s="104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6" t="s">
        <v>3636</v>
      </c>
      <c r="B171" s="215" t="s">
        <v>3183</v>
      </c>
      <c r="C171" s="36" t="s">
        <v>3341</v>
      </c>
      <c r="D171" s="36" t="s">
        <v>3637</v>
      </c>
      <c r="E171" s="6" t="s">
        <v>221</v>
      </c>
      <c r="F171" s="215" t="s">
        <v>298</v>
      </c>
      <c r="G171" s="215" t="s">
        <v>3185</v>
      </c>
      <c r="H171" s="36" t="s">
        <v>3635</v>
      </c>
      <c r="I171" s="19" t="s">
        <v>3220</v>
      </c>
      <c r="J171" s="36" t="s">
        <v>587</v>
      </c>
      <c r="K171" s="215"/>
      <c r="L171" s="215"/>
      <c r="M171" s="36" t="s">
        <v>587</v>
      </c>
      <c r="N171" s="19" t="s">
        <v>3406</v>
      </c>
      <c r="O171" s="6" t="s">
        <v>587</v>
      </c>
      <c r="P171" s="215" t="s">
        <v>3188</v>
      </c>
      <c r="Q171" s="38" t="n">
        <f aca="false">Spec_Rack!E40</f>
        <v>5</v>
      </c>
      <c r="R171" s="185" t="n">
        <f aca="false">SRC_HW_043</f>
        <v>5</v>
      </c>
      <c r="S171" s="35" t="str">
        <f aca="false">IF(ISNUMBER($AF171),INDEX(IDX_SrcStat,$AF171),"—")</f>
        <v>Active</v>
      </c>
      <c r="T171" s="35" t="n">
        <f aca="false">IF(ISNUMBER($AF171),INDEX(IDX_SrcGrade,$AF171),"—")</f>
        <v>1</v>
      </c>
      <c r="U171" s="35" t="s">
        <v>3222</v>
      </c>
      <c r="V171" s="186" t="n">
        <f aca="false">IF(AND($F171="原始數據",$U171&lt;&gt;"連結 SRC"),1,0)</f>
        <v>0</v>
      </c>
      <c r="W171" s="186" t="n">
        <f aca="false">IF(AND($F171="Analogy",OR($H171="—",$H171="")),1,0)</f>
        <v>0</v>
      </c>
      <c r="X171" s="186" t="n">
        <f aca="false">IF(AND(OR($F171="Analogy",$F171="Assumed"),$G171&lt;&gt;"低",$G171&lt;&gt;"高",NOT(ISNUMBER($K171)),NOT(ISNUMBER($L171)),OR($M171="—",$M171="")),1,0)</f>
        <v>0</v>
      </c>
      <c r="Y171" s="186" t="n">
        <f aca="false">IF(AND(OR($F171="Analogy",$F171="Assumed",$F171="Derived（待改公式）",$F171="Derived（公式）"),OR($N171="—",$N171="",$N171=0)),1,0)</f>
        <v>0</v>
      </c>
      <c r="Z171" s="186" t="n">
        <f aca="false">IF(AND($F171="Decision",OR($J171="—",$J171="")),1,0)</f>
        <v>0</v>
      </c>
      <c r="AA171" s="183" t="n">
        <f aca="false">IF(OR($J171="—",$J171=""),0,IF(COUNTIF(Decisions!$A$5:$A$300,$J171)=0,1,0))</f>
        <v>0</v>
      </c>
      <c r="AB171" s="186" t="n">
        <f aca="false">IF(AND($F171="原始數據",$S171&lt;&gt;"Active"),1,0)</f>
        <v>0</v>
      </c>
      <c r="AC171" s="186" t="n">
        <f aca="false">IF(AND(ISNUMBER($K171),ISNUMBER($L171),ISNUMBER($Q171)),IF(OR($Q171&lt;MIN($K171,$L171),$Q171&gt;MAX($K171,$L171)),1,0),0)</f>
        <v>0</v>
      </c>
      <c r="AD171" s="186" t="n">
        <f aca="false">IF(AND(ISNUMBER($T171),$P171="高"),IF($T171=3,1,0),0)</f>
        <v>0</v>
      </c>
      <c r="AE171" s="186" t="n">
        <f aca="false">IF($S171="不存在",1,0)</f>
        <v>0</v>
      </c>
      <c r="AF171" s="35" t="n">
        <f aca="false">IF(OR($H171="—",$H171=""),"—",MATCH($H171,IDX_SrcID,0))</f>
        <v>43</v>
      </c>
      <c r="AG171" s="104" t="n">
        <f aca="false">IF(AND($P171="高",OR($AD171=1,$X171=1)),1,0)</f>
        <v>0</v>
      </c>
      <c r="AH171" s="104" t="n">
        <f aca="false">IF(AND($P171="高",$AG171=0,OR($F171&lt;&gt;"原始數據",$T171&lt;&gt;1)),1,0)</f>
        <v>0</v>
      </c>
      <c r="AI171" s="53" t="str">
        <f aca="false">IF(AND($P171="高",ISNUMBER($AF171)),INDEX(IDX_SrcDate,$AF171),"—")</f>
        <v>—</v>
      </c>
      <c r="AJ171" s="104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6" t="s">
        <v>3638</v>
      </c>
      <c r="B172" s="215" t="s">
        <v>3183</v>
      </c>
      <c r="C172" s="36" t="s">
        <v>3341</v>
      </c>
      <c r="D172" s="36" t="s">
        <v>3639</v>
      </c>
      <c r="E172" s="6" t="s">
        <v>221</v>
      </c>
      <c r="F172" s="215" t="s">
        <v>298</v>
      </c>
      <c r="G172" s="215" t="s">
        <v>3185</v>
      </c>
      <c r="H172" s="36" t="s">
        <v>3640</v>
      </c>
      <c r="I172" s="19" t="s">
        <v>3519</v>
      </c>
      <c r="J172" s="36" t="s">
        <v>587</v>
      </c>
      <c r="K172" s="215"/>
      <c r="L172" s="215"/>
      <c r="M172" s="36" t="s">
        <v>587</v>
      </c>
      <c r="N172" s="19" t="s">
        <v>3406</v>
      </c>
      <c r="O172" s="6" t="s">
        <v>587</v>
      </c>
      <c r="P172" s="215" t="s">
        <v>3188</v>
      </c>
      <c r="Q172" s="38" t="n">
        <f aca="false">Spec_Rack!F40</f>
        <v>17.5</v>
      </c>
      <c r="R172" s="185" t="n">
        <f aca="false">SRC_HW_038</f>
        <v>1260</v>
      </c>
      <c r="S172" s="35" t="str">
        <f aca="false">IF(ISNUMBER($AF172),INDEX(IDX_SrcStat,$AF172),"—")</f>
        <v>Active</v>
      </c>
      <c r="T172" s="35" t="n">
        <f aca="false">IF(ISNUMBER($AF172),INDEX(IDX_SrcGrade,$AF172),"—")</f>
        <v>2</v>
      </c>
      <c r="U172" s="35" t="s">
        <v>3222</v>
      </c>
      <c r="V172" s="186" t="n">
        <f aca="false">IF(AND($F172="原始數據",$U172&lt;&gt;"連結 SRC"),1,0)</f>
        <v>0</v>
      </c>
      <c r="W172" s="186" t="n">
        <f aca="false">IF(AND($F172="Analogy",OR($H172="—",$H172="")),1,0)</f>
        <v>0</v>
      </c>
      <c r="X172" s="186" t="n">
        <f aca="false">IF(AND(OR($F172="Analogy",$F172="Assumed"),$G172&lt;&gt;"低",$G172&lt;&gt;"高",NOT(ISNUMBER($K172)),NOT(ISNUMBER($L172)),OR($M172="—",$M172="")),1,0)</f>
        <v>0</v>
      </c>
      <c r="Y172" s="186" t="n">
        <f aca="false">IF(AND(OR($F172="Analogy",$F172="Assumed",$F172="Derived（待改公式）",$F172="Derived（公式）"),OR($N172="—",$N172="",$N172=0)),1,0)</f>
        <v>0</v>
      </c>
      <c r="Z172" s="186" t="n">
        <f aca="false">IF(AND($F172="Decision",OR($J172="—",$J172="")),1,0)</f>
        <v>0</v>
      </c>
      <c r="AA172" s="183" t="n">
        <f aca="false">IF(OR($J172="—",$J172=""),0,IF(COUNTIF(Decisions!$A$5:$A$300,$J172)=0,1,0))</f>
        <v>0</v>
      </c>
      <c r="AB172" s="186" t="n">
        <f aca="false">IF(AND($F172="原始數據",$S172&lt;&gt;"Active"),1,0)</f>
        <v>0</v>
      </c>
      <c r="AC172" s="186" t="n">
        <f aca="false">IF(AND(ISNUMBER($K172),ISNUMBER($L172),ISNUMBER($Q172)),IF(OR($Q172&lt;MIN($K172,$L172),$Q172&gt;MAX($K172,$L172)),1,0),0)</f>
        <v>0</v>
      </c>
      <c r="AD172" s="186" t="n">
        <f aca="false">IF(AND(ISNUMBER($T172),$P172="高"),IF($T172=3,1,0),0)</f>
        <v>0</v>
      </c>
      <c r="AE172" s="186" t="n">
        <f aca="false">IF($S172="不存在",1,0)</f>
        <v>0</v>
      </c>
      <c r="AF172" s="35" t="n">
        <f aca="false">IF(OR($H172="—",$H172=""),"—",MATCH($H172,IDX_SrcID,0))</f>
        <v>38</v>
      </c>
      <c r="AG172" s="104" t="n">
        <f aca="false">IF(AND($P172="高",OR($AD172=1,$X172=1)),1,0)</f>
        <v>0</v>
      </c>
      <c r="AH172" s="104" t="n">
        <f aca="false">IF(AND($P172="高",$AG172=0,OR($F172&lt;&gt;"原始數據",$T172&lt;&gt;1)),1,0)</f>
        <v>0</v>
      </c>
      <c r="AI172" s="53" t="str">
        <f aca="false">IF(AND($P172="高",ISNUMBER($AF172)),INDEX(IDX_SrcDate,$AF172),"—")</f>
        <v>—</v>
      </c>
      <c r="AJ172" s="104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6" t="s">
        <v>3641</v>
      </c>
      <c r="B173" s="215" t="s">
        <v>3183</v>
      </c>
      <c r="C173" s="36" t="s">
        <v>3341</v>
      </c>
      <c r="D173" s="36" t="s">
        <v>3642</v>
      </c>
      <c r="E173" s="6" t="s">
        <v>221</v>
      </c>
      <c r="F173" s="215" t="s">
        <v>258</v>
      </c>
      <c r="G173" s="215" t="s">
        <v>3185</v>
      </c>
      <c r="H173" s="36" t="s">
        <v>3463</v>
      </c>
      <c r="I173" s="19" t="s">
        <v>3643</v>
      </c>
      <c r="J173" s="36" t="s">
        <v>587</v>
      </c>
      <c r="K173" s="215"/>
      <c r="L173" s="215"/>
      <c r="M173" s="36" t="s">
        <v>587</v>
      </c>
      <c r="N173" s="19" t="s">
        <v>3644</v>
      </c>
      <c r="O173" s="19" t="s">
        <v>3483</v>
      </c>
      <c r="P173" s="215" t="s">
        <v>3188</v>
      </c>
      <c r="Q173" s="38" t="n">
        <f aca="false">Spec_Rack!G40</f>
        <v>35</v>
      </c>
      <c r="R173" s="185" t="n">
        <f aca="false">SRC_HW_063</f>
        <v>2520</v>
      </c>
      <c r="S173" s="35" t="str">
        <f aca="false">IF(ISNUMBER($AF173),INDEX(IDX_SrcStat,$AF173),"—")</f>
        <v>Active</v>
      </c>
      <c r="T173" s="35" t="n">
        <f aca="false">IF(ISNUMBER($AF173),INDEX(IDX_SrcGrade,$AF173),"—")</f>
        <v>1</v>
      </c>
      <c r="U173" s="35" t="s">
        <v>3189</v>
      </c>
      <c r="V173" s="186" t="n">
        <f aca="false">IF(AND($F173="原始數據",$U173&lt;&gt;"連結 SRC"),1,0)</f>
        <v>0</v>
      </c>
      <c r="W173" s="186" t="n">
        <f aca="false">IF(AND($F173="Analogy",OR($H173="—",$H173="")),1,0)</f>
        <v>0</v>
      </c>
      <c r="X173" s="186" t="n">
        <f aca="false">IF(AND(OR($F173="Analogy",$F173="Assumed"),$G173&lt;&gt;"低",$G173&lt;&gt;"高",NOT(ISNUMBER($K173)),NOT(ISNUMBER($L173)),OR($M173="—",$M173="")),1,0)</f>
        <v>0</v>
      </c>
      <c r="Y173" s="186" t="n">
        <f aca="false">IF(AND(OR($F173="Analogy",$F173="Assumed",$F173="Derived（待改公式）",$F173="Derived（公式）"),OR($N173="—",$N173="",$N173=0)),1,0)</f>
        <v>0</v>
      </c>
      <c r="Z173" s="186" t="n">
        <f aca="false">IF(AND($F173="Decision",OR($J173="—",$J173="")),1,0)</f>
        <v>0</v>
      </c>
      <c r="AA173" s="183" t="n">
        <f aca="false">IF(OR($J173="—",$J173=""),0,IF(COUNTIF(Decisions!$A$5:$A$300,$J173)=0,1,0))</f>
        <v>0</v>
      </c>
      <c r="AB173" s="186" t="n">
        <f aca="false">IF(AND($F173="原始數據",$S173&lt;&gt;"Active"),1,0)</f>
        <v>0</v>
      </c>
      <c r="AC173" s="186" t="n">
        <f aca="false">IF(AND(ISNUMBER($K173),ISNUMBER($L173),ISNUMBER($Q173)),IF(OR($Q173&lt;MIN($K173,$L173),$Q173&gt;MAX($K173,$L173)),1,0),0)</f>
        <v>0</v>
      </c>
      <c r="AD173" s="186" t="n">
        <f aca="false">IF(AND(ISNUMBER($T173),$P173="高"),IF($T173=3,1,0),0)</f>
        <v>0</v>
      </c>
      <c r="AE173" s="186" t="n">
        <f aca="false">IF($S173="不存在",1,0)</f>
        <v>0</v>
      </c>
      <c r="AF173" s="35" t="n">
        <f aca="false">IF(OR($H173="—",$H173=""),"—",MATCH($H173,IDX_SrcID,0))</f>
        <v>63</v>
      </c>
      <c r="AG173" s="104" t="n">
        <f aca="false">IF(AND($P173="高",OR($AD173=1,$X173=1)),1,0)</f>
        <v>0</v>
      </c>
      <c r="AH173" s="104" t="n">
        <f aca="false">IF(AND($P173="高",$AG173=0,OR($F173&lt;&gt;"原始數據",$T173&lt;&gt;1)),1,0)</f>
        <v>0</v>
      </c>
      <c r="AI173" s="53" t="str">
        <f aca="false">IF(AND($P173="高",ISNUMBER($AF173)),INDEX(IDX_SrcDate,$AF173),"—")</f>
        <v>—</v>
      </c>
      <c r="AJ173" s="104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6" t="s">
        <v>3645</v>
      </c>
      <c r="B174" s="215" t="s">
        <v>3183</v>
      </c>
      <c r="C174" s="36" t="s">
        <v>3341</v>
      </c>
      <c r="D174" s="36" t="s">
        <v>3646</v>
      </c>
      <c r="E174" s="6" t="s">
        <v>223</v>
      </c>
      <c r="F174" s="36" t="s">
        <v>3471</v>
      </c>
      <c r="G174" s="215" t="s">
        <v>3185</v>
      </c>
      <c r="H174" s="36" t="s">
        <v>587</v>
      </c>
      <c r="I174" s="6" t="s">
        <v>587</v>
      </c>
      <c r="J174" s="36" t="s">
        <v>587</v>
      </c>
      <c r="K174" s="215"/>
      <c r="L174" s="215"/>
      <c r="M174" s="36" t="s">
        <v>587</v>
      </c>
      <c r="N174" s="6" t="s">
        <v>3647</v>
      </c>
      <c r="O174" s="6" t="s">
        <v>587</v>
      </c>
      <c r="P174" s="215" t="s">
        <v>3188</v>
      </c>
      <c r="Q174" s="38" t="n">
        <f aca="false">Spec_Rack!C41</f>
        <v>1.979</v>
      </c>
      <c r="R174" s="36" t="s">
        <v>587</v>
      </c>
      <c r="S174" s="35" t="str">
        <f aca="false">IF(ISNUMBER($AF174),INDEX(IDX_SrcStat,$AF174),"—")</f>
        <v>—</v>
      </c>
      <c r="T174" s="35" t="str">
        <f aca="false">IF(ISNUMBER($AF174),INDEX(IDX_SrcGrade,$AF174),"—")</f>
        <v>—</v>
      </c>
      <c r="U174" s="35" t="s">
        <v>3418</v>
      </c>
      <c r="V174" s="186" t="n">
        <f aca="false">IF(AND($F174="原始數據",$U174&lt;&gt;"連結 SRC"),1,0)</f>
        <v>0</v>
      </c>
      <c r="W174" s="186" t="n">
        <f aca="false">IF(AND($F174="Analogy",OR($H174="—",$H174="")),1,0)</f>
        <v>0</v>
      </c>
      <c r="X174" s="186" t="n">
        <f aca="false">IF(AND(OR($F174="Analogy",$F174="Assumed"),$G174&lt;&gt;"低",$G174&lt;&gt;"高",NOT(ISNUMBER($K174)),NOT(ISNUMBER($L174)),OR($M174="—",$M174="")),1,0)</f>
        <v>0</v>
      </c>
      <c r="Y174" s="186" t="n">
        <f aca="false">IF(AND(OR($F174="Analogy",$F174="Assumed",$F174="Derived（待改公式）",$F174="Derived（公式）"),OR($N174="—",$N174="",$N174=0)),1,0)</f>
        <v>0</v>
      </c>
      <c r="Z174" s="186" t="n">
        <f aca="false">IF(AND($F174="Decision",OR($J174="—",$J174="")),1,0)</f>
        <v>0</v>
      </c>
      <c r="AA174" s="183" t="n">
        <f aca="false">IF(OR($J174="—",$J174=""),0,IF(COUNTIF(Decisions!$A$5:$A$300,$J174)=0,1,0))</f>
        <v>0</v>
      </c>
      <c r="AB174" s="186" t="n">
        <f aca="false">IF(AND($F174="原始數據",$S174&lt;&gt;"Active"),1,0)</f>
        <v>0</v>
      </c>
      <c r="AC174" s="186" t="n">
        <f aca="false">IF(AND(ISNUMBER($K174),ISNUMBER($L174),ISNUMBER($Q174)),IF(OR($Q174&lt;MIN($K174,$L174),$Q174&gt;MAX($K174,$L174)),1,0),0)</f>
        <v>0</v>
      </c>
      <c r="AD174" s="186" t="n">
        <f aca="false">IF(AND(ISNUMBER($T174),$P174="高"),IF($T174=3,1,0),0)</f>
        <v>0</v>
      </c>
      <c r="AE174" s="186" t="n">
        <f aca="false">IF($S174="不存在",1,0)</f>
        <v>0</v>
      </c>
      <c r="AF174" s="35" t="str">
        <f aca="false">IF(OR($H174="—",$H174=""),"—",MATCH($H174,IDX_SrcID,0))</f>
        <v>—</v>
      </c>
      <c r="AG174" s="104" t="n">
        <f aca="false">IF(AND($P174="高",OR($AD174=1,$X174=1)),1,0)</f>
        <v>0</v>
      </c>
      <c r="AH174" s="104" t="n">
        <f aca="false">IF(AND($P174="高",$AG174=0,OR($F174&lt;&gt;"原始數據",$T174&lt;&gt;1)),1,0)</f>
        <v>0</v>
      </c>
      <c r="AI174" s="53" t="str">
        <f aca="false">IF(AND($P174="高",ISNUMBER($AF174)),INDEX(IDX_SrcDate,$AF174),"—")</f>
        <v>—</v>
      </c>
      <c r="AJ174" s="104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6" t="s">
        <v>3648</v>
      </c>
      <c r="B175" s="215" t="s">
        <v>3183</v>
      </c>
      <c r="C175" s="36" t="s">
        <v>3341</v>
      </c>
      <c r="D175" s="36" t="s">
        <v>3649</v>
      </c>
      <c r="E175" s="6" t="s">
        <v>223</v>
      </c>
      <c r="F175" s="36" t="s">
        <v>84</v>
      </c>
      <c r="G175" s="215" t="s">
        <v>3185</v>
      </c>
      <c r="H175" s="36" t="s">
        <v>3650</v>
      </c>
      <c r="I175" s="19" t="s">
        <v>3651</v>
      </c>
      <c r="J175" s="36" t="s">
        <v>587</v>
      </c>
      <c r="K175" s="217" t="n">
        <v>5</v>
      </c>
      <c r="L175" s="217" t="n">
        <v>10</v>
      </c>
      <c r="M175" s="36" t="s">
        <v>3652</v>
      </c>
      <c r="N175" s="216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587</v>
      </c>
      <c r="P175" s="215" t="s">
        <v>3188</v>
      </c>
      <c r="Q175" s="38" t="n">
        <f aca="false">Spec_Rack!D41</f>
        <v>10</v>
      </c>
      <c r="R175" s="185" t="n">
        <f aca="false">SRC_HW_037</f>
        <v>2520</v>
      </c>
      <c r="S175" s="35" t="str">
        <f aca="false">IF(ISNUMBER($AF175),INDEX(IDX_SrcStat,$AF175),"—")</f>
        <v>Active</v>
      </c>
      <c r="T175" s="35" t="n">
        <f aca="false">IF(ISNUMBER($AF175),INDEX(IDX_SrcGrade,$AF175),"—")</f>
        <v>2</v>
      </c>
      <c r="U175" s="35" t="s">
        <v>3189</v>
      </c>
      <c r="V175" s="186" t="n">
        <f aca="false">IF(AND($F175="原始數據",$U175&lt;&gt;"連結 SRC"),1,0)</f>
        <v>0</v>
      </c>
      <c r="W175" s="186" t="n">
        <f aca="false">IF(AND($F175="Analogy",OR($H175="—",$H175="")),1,0)</f>
        <v>0</v>
      </c>
      <c r="X175" s="186" t="n">
        <f aca="false">IF(AND(OR($F175="Analogy",$F175="Assumed"),$G175&lt;&gt;"低",$G175&lt;&gt;"高",NOT(ISNUMBER($K175)),NOT(ISNUMBER($L175)),OR($M175="—",$M175="")),1,0)</f>
        <v>0</v>
      </c>
      <c r="Y175" s="186" t="n">
        <f aca="false">IF(AND(OR($F175="Analogy",$F175="Assumed",$F175="Derived（待改公式）",$F175="Derived（公式）"),OR($N175="—",$N175="",$N175=0)),1,0)</f>
        <v>0</v>
      </c>
      <c r="Z175" s="186" t="n">
        <f aca="false">IF(AND($F175="Decision",OR($J175="—",$J175="")),1,0)</f>
        <v>0</v>
      </c>
      <c r="AA175" s="183" t="n">
        <f aca="false">IF(OR($J175="—",$J175=""),0,IF(COUNTIF(Decisions!$A$5:$A$300,$J175)=0,1,0))</f>
        <v>0</v>
      </c>
      <c r="AB175" s="186" t="n">
        <f aca="false">IF(AND($F175="原始數據",$S175&lt;&gt;"Active"),1,0)</f>
        <v>0</v>
      </c>
      <c r="AC175" s="186" t="n">
        <f aca="false">IF(AND(ISNUMBER($K175),ISNUMBER($L175),ISNUMBER($Q175)),IF(OR($Q175&lt;MIN($K175,$L175),$Q175&gt;MAX($K175,$L175)),1,0),0)</f>
        <v>0</v>
      </c>
      <c r="AD175" s="186" t="n">
        <f aca="false">IF(AND(ISNUMBER($T175),$P175="高"),IF($T175=3,1,0),0)</f>
        <v>0</v>
      </c>
      <c r="AE175" s="186" t="n">
        <f aca="false">IF($S175="不存在",1,0)</f>
        <v>0</v>
      </c>
      <c r="AF175" s="35" t="n">
        <f aca="false">IF(OR($H175="—",$H175=""),"—",MATCH($H175,IDX_SrcID,0))</f>
        <v>37</v>
      </c>
      <c r="AG175" s="104" t="n">
        <f aca="false">IF(AND($P175="高",OR($AD175=1,$X175=1)),1,0)</f>
        <v>0</v>
      </c>
      <c r="AH175" s="104" t="n">
        <f aca="false">IF(AND($P175="高",$AG175=0,OR($F175&lt;&gt;"原始數據",$T175&lt;&gt;1)),1,0)</f>
        <v>0</v>
      </c>
      <c r="AI175" s="53" t="str">
        <f aca="false">IF(AND($P175="高",ISNUMBER($AF175)),INDEX(IDX_SrcDate,$AF175),"—")</f>
        <v>—</v>
      </c>
      <c r="AJ175" s="104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6" t="s">
        <v>3653</v>
      </c>
      <c r="B176" s="215" t="s">
        <v>3183</v>
      </c>
      <c r="C176" s="36" t="s">
        <v>3341</v>
      </c>
      <c r="D176" s="36" t="s">
        <v>3654</v>
      </c>
      <c r="E176" s="6" t="s">
        <v>223</v>
      </c>
      <c r="F176" s="36" t="s">
        <v>80</v>
      </c>
      <c r="G176" s="215" t="s">
        <v>3185</v>
      </c>
      <c r="H176" s="36" t="s">
        <v>587</v>
      </c>
      <c r="I176" s="6" t="s">
        <v>587</v>
      </c>
      <c r="J176" s="36" t="s">
        <v>587</v>
      </c>
      <c r="K176" s="217" t="n">
        <v>10</v>
      </c>
      <c r="L176" s="217" t="n">
        <v>15</v>
      </c>
      <c r="M176" s="36" t="s">
        <v>3655</v>
      </c>
      <c r="N176" s="216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587</v>
      </c>
      <c r="P176" s="215" t="s">
        <v>3188</v>
      </c>
      <c r="Q176" s="38" t="n">
        <f aca="false">Spec_Rack!E41</f>
        <v>15</v>
      </c>
      <c r="R176" s="36" t="s">
        <v>587</v>
      </c>
      <c r="S176" s="35" t="str">
        <f aca="false">IF(ISNUMBER($AF176),INDEX(IDX_SrcStat,$AF176),"—")</f>
        <v>—</v>
      </c>
      <c r="T176" s="35" t="str">
        <f aca="false">IF(ISNUMBER($AF176),INDEX(IDX_SrcGrade,$AF176),"—")</f>
        <v>—</v>
      </c>
      <c r="U176" s="35" t="s">
        <v>3189</v>
      </c>
      <c r="V176" s="186" t="n">
        <f aca="false">IF(AND($F176="原始數據",$U176&lt;&gt;"連結 SRC"),1,0)</f>
        <v>0</v>
      </c>
      <c r="W176" s="186" t="n">
        <f aca="false">IF(AND($F176="Analogy",OR($H176="—",$H176="")),1,0)</f>
        <v>0</v>
      </c>
      <c r="X176" s="186" t="n">
        <f aca="false">IF(AND(OR($F176="Analogy",$F176="Assumed"),$G176&lt;&gt;"低",$G176&lt;&gt;"高",NOT(ISNUMBER($K176)),NOT(ISNUMBER($L176)),OR($M176="—",$M176="")),1,0)</f>
        <v>0</v>
      </c>
      <c r="Y176" s="186" t="n">
        <f aca="false">IF(AND(OR($F176="Analogy",$F176="Assumed",$F176="Derived（待改公式）",$F176="Derived（公式）"),OR($N176="—",$N176="",$N176=0)),1,0)</f>
        <v>0</v>
      </c>
      <c r="Z176" s="186" t="n">
        <f aca="false">IF(AND($F176="Decision",OR($J176="—",$J176="")),1,0)</f>
        <v>0</v>
      </c>
      <c r="AA176" s="183" t="n">
        <f aca="false">IF(OR($J176="—",$J176=""),0,IF(COUNTIF(Decisions!$A$5:$A$300,$J176)=0,1,0))</f>
        <v>0</v>
      </c>
      <c r="AB176" s="186" t="n">
        <f aca="false">IF(AND($F176="原始數據",$S176&lt;&gt;"Active"),1,0)</f>
        <v>0</v>
      </c>
      <c r="AC176" s="186" t="n">
        <f aca="false">IF(AND(ISNUMBER($K176),ISNUMBER($L176),ISNUMBER($Q176)),IF(OR($Q176&lt;MIN($K176,$L176),$Q176&gt;MAX($K176,$L176)),1,0),0)</f>
        <v>0</v>
      </c>
      <c r="AD176" s="186" t="n">
        <f aca="false">IF(AND(ISNUMBER($T176),$P176="高"),IF($T176=3,1,0),0)</f>
        <v>0</v>
      </c>
      <c r="AE176" s="186" t="n">
        <f aca="false">IF($S176="不存在",1,0)</f>
        <v>0</v>
      </c>
      <c r="AF176" s="35" t="str">
        <f aca="false">IF(OR($H176="—",$H176=""),"—",MATCH($H176,IDX_SrcID,0))</f>
        <v>—</v>
      </c>
      <c r="AG176" s="104" t="n">
        <f aca="false">IF(AND($P176="高",OR($AD176=1,$X176=1)),1,0)</f>
        <v>0</v>
      </c>
      <c r="AH176" s="104" t="n">
        <f aca="false">IF(AND($P176="高",$AG176=0,OR($F176&lt;&gt;"原始數據",$T176&lt;&gt;1)),1,0)</f>
        <v>0</v>
      </c>
      <c r="AI176" s="53" t="str">
        <f aca="false">IF(AND($P176="高",ISNUMBER($AF176)),INDEX(IDX_SrcDate,$AF176),"—")</f>
        <v>—</v>
      </c>
      <c r="AJ176" s="104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6" t="s">
        <v>3656</v>
      </c>
      <c r="B177" s="215" t="s">
        <v>3183</v>
      </c>
      <c r="C177" s="36" t="s">
        <v>3341</v>
      </c>
      <c r="D177" s="36" t="s">
        <v>3657</v>
      </c>
      <c r="E177" s="6" t="s">
        <v>223</v>
      </c>
      <c r="F177" s="215" t="s">
        <v>298</v>
      </c>
      <c r="G177" s="215" t="s">
        <v>3185</v>
      </c>
      <c r="H177" s="36" t="s">
        <v>3650</v>
      </c>
      <c r="I177" s="19" t="s">
        <v>3519</v>
      </c>
      <c r="J177" s="36" t="s">
        <v>587</v>
      </c>
      <c r="K177" s="215"/>
      <c r="L177" s="215"/>
      <c r="M177" s="36" t="s">
        <v>587</v>
      </c>
      <c r="N177" s="19" t="s">
        <v>3318</v>
      </c>
      <c r="O177" s="6" t="s">
        <v>587</v>
      </c>
      <c r="P177" s="215" t="s">
        <v>3188</v>
      </c>
      <c r="Q177" s="38" t="n">
        <f aca="false">Spec_Rack!F41</f>
        <v>35</v>
      </c>
      <c r="R177" s="185" t="n">
        <f aca="false">SRC_HW_037</f>
        <v>2520</v>
      </c>
      <c r="S177" s="35" t="str">
        <f aca="false">IF(ISNUMBER($AF177),INDEX(IDX_SrcStat,$AF177),"—")</f>
        <v>Active</v>
      </c>
      <c r="T177" s="35" t="n">
        <f aca="false">IF(ISNUMBER($AF177),INDEX(IDX_SrcGrade,$AF177),"—")</f>
        <v>2</v>
      </c>
      <c r="U177" s="35" t="s">
        <v>3222</v>
      </c>
      <c r="V177" s="186" t="n">
        <f aca="false">IF(AND($F177="原始數據",$U177&lt;&gt;"連結 SRC"),1,0)</f>
        <v>0</v>
      </c>
      <c r="W177" s="186" t="n">
        <f aca="false">IF(AND($F177="Analogy",OR($H177="—",$H177="")),1,0)</f>
        <v>0</v>
      </c>
      <c r="X177" s="186" t="n">
        <f aca="false">IF(AND(OR($F177="Analogy",$F177="Assumed"),$G177&lt;&gt;"低",$G177&lt;&gt;"高",NOT(ISNUMBER($K177)),NOT(ISNUMBER($L177)),OR($M177="—",$M177="")),1,0)</f>
        <v>0</v>
      </c>
      <c r="Y177" s="186" t="n">
        <f aca="false">IF(AND(OR($F177="Analogy",$F177="Assumed",$F177="Derived（待改公式）",$F177="Derived（公式）"),OR($N177="—",$N177="",$N177=0)),1,0)</f>
        <v>0</v>
      </c>
      <c r="Z177" s="186" t="n">
        <f aca="false">IF(AND($F177="Decision",OR($J177="—",$J177="")),1,0)</f>
        <v>0</v>
      </c>
      <c r="AA177" s="183" t="n">
        <f aca="false">IF(OR($J177="—",$J177=""),0,IF(COUNTIF(Decisions!$A$5:$A$300,$J177)=0,1,0))</f>
        <v>0</v>
      </c>
      <c r="AB177" s="186" t="n">
        <f aca="false">IF(AND($F177="原始數據",$S177&lt;&gt;"Active"),1,0)</f>
        <v>0</v>
      </c>
      <c r="AC177" s="186" t="n">
        <f aca="false">IF(AND(ISNUMBER($K177),ISNUMBER($L177),ISNUMBER($Q177)),IF(OR($Q177&lt;MIN($K177,$L177),$Q177&gt;MAX($K177,$L177)),1,0),0)</f>
        <v>0</v>
      </c>
      <c r="AD177" s="186" t="n">
        <f aca="false">IF(AND(ISNUMBER($T177),$P177="高"),IF($T177=3,1,0),0)</f>
        <v>0</v>
      </c>
      <c r="AE177" s="186" t="n">
        <f aca="false">IF($S177="不存在",1,0)</f>
        <v>0</v>
      </c>
      <c r="AF177" s="35" t="n">
        <f aca="false">IF(OR($H177="—",$H177=""),"—",MATCH($H177,IDX_SrcID,0))</f>
        <v>37</v>
      </c>
      <c r="AG177" s="104" t="n">
        <f aca="false">IF(AND($P177="高",OR($AD177=1,$X177=1)),1,0)</f>
        <v>0</v>
      </c>
      <c r="AH177" s="104" t="n">
        <f aca="false">IF(AND($P177="高",$AG177=0,OR($F177&lt;&gt;"原始數據",$T177&lt;&gt;1)),1,0)</f>
        <v>0</v>
      </c>
      <c r="AI177" s="53" t="str">
        <f aca="false">IF(AND($P177="高",ISNUMBER($AF177)),INDEX(IDX_SrcDate,$AF177),"—")</f>
        <v>—</v>
      </c>
      <c r="AJ177" s="104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6" t="s">
        <v>3658</v>
      </c>
      <c r="B178" s="215" t="s">
        <v>3183</v>
      </c>
      <c r="C178" s="36" t="s">
        <v>3341</v>
      </c>
      <c r="D178" s="36" t="s">
        <v>3659</v>
      </c>
      <c r="E178" s="6" t="s">
        <v>223</v>
      </c>
      <c r="F178" s="36" t="s">
        <v>80</v>
      </c>
      <c r="G178" s="215" t="s">
        <v>65</v>
      </c>
      <c r="H178" s="36" t="s">
        <v>587</v>
      </c>
      <c r="I178" s="6" t="s">
        <v>587</v>
      </c>
      <c r="J178" s="36" t="s">
        <v>587</v>
      </c>
      <c r="K178" s="185" t="n">
        <f aca="false">Spec_Rack!G41*0.7</f>
        <v>49</v>
      </c>
      <c r="L178" s="185" t="n">
        <f aca="false">Spec_Rack!G41*1.3</f>
        <v>91</v>
      </c>
      <c r="M178" s="36" t="s">
        <v>3465</v>
      </c>
      <c r="N178" s="6" t="s">
        <v>3594</v>
      </c>
      <c r="O178" s="6" t="s">
        <v>587</v>
      </c>
      <c r="P178" s="215" t="s">
        <v>3188</v>
      </c>
      <c r="Q178" s="38" t="n">
        <f aca="false">Spec_Rack!G41</f>
        <v>70</v>
      </c>
      <c r="R178" s="36" t="s">
        <v>587</v>
      </c>
      <c r="S178" s="35" t="str">
        <f aca="false">IF(ISNUMBER($AF178),INDEX(IDX_SrcStat,$AF178),"—")</f>
        <v>—</v>
      </c>
      <c r="T178" s="35" t="str">
        <f aca="false">IF(ISNUMBER($AF178),INDEX(IDX_SrcGrade,$AF178),"—")</f>
        <v>—</v>
      </c>
      <c r="U178" s="35" t="s">
        <v>3189</v>
      </c>
      <c r="V178" s="186" t="n">
        <f aca="false">IF(AND($F178="原始數據",$U178&lt;&gt;"連結 SRC"),1,0)</f>
        <v>0</v>
      </c>
      <c r="W178" s="186" t="n">
        <f aca="false">IF(AND($F178="Analogy",OR($H178="—",$H178="")),1,0)</f>
        <v>0</v>
      </c>
      <c r="X178" s="186" t="n">
        <f aca="false">IF(AND(OR($F178="Analogy",$F178="Assumed"),$G178&lt;&gt;"低",$G178&lt;&gt;"高",NOT(ISNUMBER($K178)),NOT(ISNUMBER($L178)),OR($M178="—",$M178="")),1,0)</f>
        <v>0</v>
      </c>
      <c r="Y178" s="186" t="n">
        <f aca="false">IF(AND(OR($F178="Analogy",$F178="Assumed",$F178="Derived（待改公式）",$F178="Derived（公式）"),OR($N178="—",$N178="",$N178=0)),1,0)</f>
        <v>0</v>
      </c>
      <c r="Z178" s="186" t="n">
        <f aca="false">IF(AND($F178="Decision",OR($J178="—",$J178="")),1,0)</f>
        <v>0</v>
      </c>
      <c r="AA178" s="183" t="n">
        <f aca="false">IF(OR($J178="—",$J178=""),0,IF(COUNTIF(Decisions!$A$5:$A$300,$J178)=0,1,0))</f>
        <v>0</v>
      </c>
      <c r="AB178" s="186" t="n">
        <f aca="false">IF(AND($F178="原始數據",$S178&lt;&gt;"Active"),1,0)</f>
        <v>0</v>
      </c>
      <c r="AC178" s="186" t="n">
        <f aca="false">IF(AND(ISNUMBER($K178),ISNUMBER($L178),ISNUMBER($Q178)),IF(OR($Q178&lt;MIN($K178,$L178),$Q178&gt;MAX($K178,$L178)),1,0),0)</f>
        <v>0</v>
      </c>
      <c r="AD178" s="186" t="n">
        <f aca="false">IF(AND(ISNUMBER($T178),$P178="高"),IF($T178=3,1,0),0)</f>
        <v>0</v>
      </c>
      <c r="AE178" s="186" t="n">
        <f aca="false">IF($S178="不存在",1,0)</f>
        <v>0</v>
      </c>
      <c r="AF178" s="35" t="str">
        <f aca="false">IF(OR($H178="—",$H178=""),"—",MATCH($H178,IDX_SrcID,0))</f>
        <v>—</v>
      </c>
      <c r="AG178" s="104" t="n">
        <f aca="false">IF(AND($P178="高",OR($AD178=1,$X178=1)),1,0)</f>
        <v>0</v>
      </c>
      <c r="AH178" s="104" t="n">
        <f aca="false">IF(AND($P178="高",$AG178=0,OR($F178&lt;&gt;"原始數據",$T178&lt;&gt;1)),1,0)</f>
        <v>0</v>
      </c>
      <c r="AI178" s="53" t="str">
        <f aca="false">IF(AND($P178="高",ISNUMBER($AF178)),INDEX(IDX_SrcDate,$AF178),"—")</f>
        <v>—</v>
      </c>
      <c r="AJ178" s="104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6" t="s">
        <v>3660</v>
      </c>
      <c r="B179" s="215" t="s">
        <v>3183</v>
      </c>
      <c r="C179" s="36" t="s">
        <v>3661</v>
      </c>
      <c r="D179" s="36" t="s">
        <v>3342</v>
      </c>
      <c r="E179" s="19" t="s">
        <v>235</v>
      </c>
      <c r="F179" s="215" t="s">
        <v>298</v>
      </c>
      <c r="G179" s="215" t="s">
        <v>3185</v>
      </c>
      <c r="H179" s="36" t="s">
        <v>3662</v>
      </c>
      <c r="I179" s="19" t="s">
        <v>3220</v>
      </c>
      <c r="J179" s="36" t="s">
        <v>587</v>
      </c>
      <c r="K179" s="215"/>
      <c r="L179" s="215"/>
      <c r="M179" s="36" t="s">
        <v>587</v>
      </c>
      <c r="N179" s="19" t="s">
        <v>3406</v>
      </c>
      <c r="O179" s="6" t="s">
        <v>587</v>
      </c>
      <c r="P179" s="215" t="s">
        <v>3244</v>
      </c>
      <c r="Q179" s="41" t="n">
        <f aca="false">Arch!C6</f>
        <v>284</v>
      </c>
      <c r="R179" s="185" t="n">
        <f aca="false">SRC_MOD_005</f>
        <v>284</v>
      </c>
      <c r="S179" s="35" t="str">
        <f aca="false">IF(ISNUMBER($AF179),INDEX(IDX_SrcStat,$AF179),"—")</f>
        <v>Active</v>
      </c>
      <c r="T179" s="35" t="n">
        <f aca="false">IF(ISNUMBER($AF179),INDEX(IDX_SrcGrade,$AF179),"—")</f>
        <v>3</v>
      </c>
      <c r="U179" s="35" t="s">
        <v>3222</v>
      </c>
      <c r="V179" s="186" t="n">
        <f aca="false">IF(AND($F179="原始數據",$U179&lt;&gt;"連結 SRC"),1,0)</f>
        <v>0</v>
      </c>
      <c r="W179" s="186" t="n">
        <f aca="false">IF(AND($F179="Analogy",OR($H179="—",$H179="")),1,0)</f>
        <v>0</v>
      </c>
      <c r="X179" s="186" t="n">
        <f aca="false">IF(AND(OR($F179="Analogy",$F179="Assumed"),$G179&lt;&gt;"低",$G179&lt;&gt;"高",NOT(ISNUMBER($K179)),NOT(ISNUMBER($L179)),OR($M179="—",$M179="")),1,0)</f>
        <v>0</v>
      </c>
      <c r="Y179" s="186" t="n">
        <f aca="false">IF(AND(OR($F179="Analogy",$F179="Assumed",$F179="Derived（待改公式）",$F179="Derived（公式）"),OR($N179="—",$N179="",$N179=0)),1,0)</f>
        <v>0</v>
      </c>
      <c r="Z179" s="186" t="n">
        <f aca="false">IF(AND($F179="Decision",OR($J179="—",$J179="")),1,0)</f>
        <v>0</v>
      </c>
      <c r="AA179" s="183" t="n">
        <f aca="false">IF(OR($J179="—",$J179=""),0,IF(COUNTIF(Decisions!$A$5:$A$300,$J179)=0,1,0))</f>
        <v>0</v>
      </c>
      <c r="AB179" s="186" t="n">
        <f aca="false">IF(AND($F179="原始數據",$S179&lt;&gt;"Active"),1,0)</f>
        <v>0</v>
      </c>
      <c r="AC179" s="186" t="n">
        <f aca="false">IF(AND(ISNUMBER($K179),ISNUMBER($L179),ISNUMBER($Q179)),IF(OR($Q179&lt;MIN($K179,$L179),$Q179&gt;MAX($K179,$L179)),1,0),0)</f>
        <v>0</v>
      </c>
      <c r="AD179" s="186" t="n">
        <f aca="false">IF(AND(ISNUMBER($T179),$P179="高"),IF($T179=3,1,0),0)</f>
        <v>0</v>
      </c>
      <c r="AE179" s="186" t="n">
        <f aca="false">IF($S179="不存在",1,0)</f>
        <v>0</v>
      </c>
      <c r="AF179" s="35" t="n">
        <f aca="false">IF(OR($H179="—",$H179=""),"—",MATCH($H179,IDX_SrcID,0))</f>
        <v>182</v>
      </c>
      <c r="AG179" s="104" t="n">
        <f aca="false">IF(AND($P179="高",OR($AD179=1,$X179=1)),1,0)</f>
        <v>0</v>
      </c>
      <c r="AH179" s="104" t="n">
        <f aca="false">IF(AND($P179="高",$AG179=0,OR($F179&lt;&gt;"原始數據",$T179&lt;&gt;1)),1,0)</f>
        <v>0</v>
      </c>
      <c r="AI179" s="53" t="str">
        <f aca="false">IF(AND($P179="高",ISNUMBER($AF179)),INDEX(IDX_SrcDate,$AF179),"—")</f>
        <v>—</v>
      </c>
      <c r="AJ179" s="104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6" t="s">
        <v>3663</v>
      </c>
      <c r="B180" s="215" t="s">
        <v>3183</v>
      </c>
      <c r="C180" s="36" t="s">
        <v>3661</v>
      </c>
      <c r="D180" s="36" t="s">
        <v>3346</v>
      </c>
      <c r="E180" s="19" t="s">
        <v>235</v>
      </c>
      <c r="F180" s="215" t="s">
        <v>298</v>
      </c>
      <c r="G180" s="215" t="s">
        <v>3185</v>
      </c>
      <c r="H180" s="36" t="s">
        <v>3664</v>
      </c>
      <c r="I180" s="19" t="s">
        <v>3220</v>
      </c>
      <c r="J180" s="36" t="s">
        <v>587</v>
      </c>
      <c r="K180" s="215"/>
      <c r="L180" s="215"/>
      <c r="M180" s="36" t="s">
        <v>587</v>
      </c>
      <c r="N180" s="19" t="s">
        <v>3406</v>
      </c>
      <c r="O180" s="6" t="s">
        <v>587</v>
      </c>
      <c r="P180" s="215" t="s">
        <v>3244</v>
      </c>
      <c r="Q180" s="41" t="n">
        <f aca="false">Arch!D6</f>
        <v>1600</v>
      </c>
      <c r="R180" s="185" t="n">
        <f aca="false">SRC_MOD_001</f>
        <v>1600</v>
      </c>
      <c r="S180" s="35" t="str">
        <f aca="false">IF(ISNUMBER($AF180),INDEX(IDX_SrcStat,$AF180),"—")</f>
        <v>Active</v>
      </c>
      <c r="T180" s="35" t="n">
        <f aca="false">IF(ISNUMBER($AF180),INDEX(IDX_SrcGrade,$AF180),"—")</f>
        <v>3</v>
      </c>
      <c r="U180" s="35" t="s">
        <v>3222</v>
      </c>
      <c r="V180" s="186" t="n">
        <f aca="false">IF(AND($F180="原始數據",$U180&lt;&gt;"連結 SRC"),1,0)</f>
        <v>0</v>
      </c>
      <c r="W180" s="186" t="n">
        <f aca="false">IF(AND($F180="Analogy",OR($H180="—",$H180="")),1,0)</f>
        <v>0</v>
      </c>
      <c r="X180" s="186" t="n">
        <f aca="false">IF(AND(OR($F180="Analogy",$F180="Assumed"),$G180&lt;&gt;"低",$G180&lt;&gt;"高",NOT(ISNUMBER($K180)),NOT(ISNUMBER($L180)),OR($M180="—",$M180="")),1,0)</f>
        <v>0</v>
      </c>
      <c r="Y180" s="186" t="n">
        <f aca="false">IF(AND(OR($F180="Analogy",$F180="Assumed",$F180="Derived（待改公式）",$F180="Derived（公式）"),OR($N180="—",$N180="",$N180=0)),1,0)</f>
        <v>0</v>
      </c>
      <c r="Z180" s="186" t="n">
        <f aca="false">IF(AND($F180="Decision",OR($J180="—",$J180="")),1,0)</f>
        <v>0</v>
      </c>
      <c r="AA180" s="183" t="n">
        <f aca="false">IF(OR($J180="—",$J180=""),0,IF(COUNTIF(Decisions!$A$5:$A$300,$J180)=0,1,0))</f>
        <v>0</v>
      </c>
      <c r="AB180" s="186" t="n">
        <f aca="false">IF(AND($F180="原始數據",$S180&lt;&gt;"Active"),1,0)</f>
        <v>0</v>
      </c>
      <c r="AC180" s="186" t="n">
        <f aca="false">IF(AND(ISNUMBER($K180),ISNUMBER($L180),ISNUMBER($Q180)),IF(OR($Q180&lt;MIN($K180,$L180),$Q180&gt;MAX($K180,$L180)),1,0),0)</f>
        <v>0</v>
      </c>
      <c r="AD180" s="186" t="n">
        <f aca="false">IF(AND(ISNUMBER($T180),$P180="高"),IF($T180=3,1,0),0)</f>
        <v>0</v>
      </c>
      <c r="AE180" s="186" t="n">
        <f aca="false">IF($S180="不存在",1,0)</f>
        <v>0</v>
      </c>
      <c r="AF180" s="35" t="n">
        <f aca="false">IF(OR($H180="—",$H180=""),"—",MATCH($H180,IDX_SrcID,0))</f>
        <v>178</v>
      </c>
      <c r="AG180" s="104" t="n">
        <f aca="false">IF(AND($P180="高",OR($AD180=1,$X180=1)),1,0)</f>
        <v>0</v>
      </c>
      <c r="AH180" s="104" t="n">
        <f aca="false">IF(AND($P180="高",$AG180=0,OR($F180&lt;&gt;"原始數據",$T180&lt;&gt;1)),1,0)</f>
        <v>0</v>
      </c>
      <c r="AI180" s="53" t="str">
        <f aca="false">IF(AND($P180="高",ISNUMBER($AF180)),INDEX(IDX_SrcDate,$AF180),"—")</f>
        <v>—</v>
      </c>
      <c r="AJ180" s="104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6" t="s">
        <v>3665</v>
      </c>
      <c r="B181" s="215" t="s">
        <v>3183</v>
      </c>
      <c r="C181" s="36" t="s">
        <v>3661</v>
      </c>
      <c r="D181" s="36" t="s">
        <v>3666</v>
      </c>
      <c r="E181" s="19" t="s">
        <v>239</v>
      </c>
      <c r="F181" s="215" t="s">
        <v>298</v>
      </c>
      <c r="G181" s="215" t="s">
        <v>3185</v>
      </c>
      <c r="H181" s="36" t="s">
        <v>3667</v>
      </c>
      <c r="I181" s="19" t="s">
        <v>3220</v>
      </c>
      <c r="J181" s="36" t="s">
        <v>587</v>
      </c>
      <c r="K181" s="215"/>
      <c r="L181" s="215"/>
      <c r="M181" s="36" t="s">
        <v>587</v>
      </c>
      <c r="N181" s="19" t="s">
        <v>3318</v>
      </c>
      <c r="O181" s="6" t="s">
        <v>587</v>
      </c>
      <c r="P181" s="215" t="s">
        <v>1116</v>
      </c>
      <c r="Q181" s="41" t="n">
        <f aca="false">Arch!C7</f>
        <v>13</v>
      </c>
      <c r="R181" s="185" t="n">
        <f aca="false">SRC_MOD_006</f>
        <v>13</v>
      </c>
      <c r="S181" s="35" t="str">
        <f aca="false">IF(ISNUMBER($AF181),INDEX(IDX_SrcStat,$AF181),"—")</f>
        <v>Active</v>
      </c>
      <c r="T181" s="35" t="n">
        <f aca="false">IF(ISNUMBER($AF181),INDEX(IDX_SrcGrade,$AF181),"—")</f>
        <v>1</v>
      </c>
      <c r="U181" s="35" t="s">
        <v>3222</v>
      </c>
      <c r="V181" s="186" t="n">
        <f aca="false">IF(AND($F181="原始數據",$U181&lt;&gt;"連結 SRC"),1,0)</f>
        <v>0</v>
      </c>
      <c r="W181" s="186" t="n">
        <f aca="false">IF(AND($F181="Analogy",OR($H181="—",$H181="")),1,0)</f>
        <v>0</v>
      </c>
      <c r="X181" s="186" t="n">
        <f aca="false">IF(AND(OR($F181="Analogy",$F181="Assumed"),$G181&lt;&gt;"低",$G181&lt;&gt;"高",NOT(ISNUMBER($K181)),NOT(ISNUMBER($L181)),OR($M181="—",$M181="")),1,0)</f>
        <v>0</v>
      </c>
      <c r="Y181" s="186" t="n">
        <f aca="false">IF(AND(OR($F181="Analogy",$F181="Assumed",$F181="Derived（待改公式）",$F181="Derived（公式）"),OR($N181="—",$N181="",$N181=0)),1,0)</f>
        <v>0</v>
      </c>
      <c r="Z181" s="186" t="n">
        <f aca="false">IF(AND($F181="Decision",OR($J181="—",$J181="")),1,0)</f>
        <v>0</v>
      </c>
      <c r="AA181" s="183" t="n">
        <f aca="false">IF(OR($J181="—",$J181=""),0,IF(COUNTIF(Decisions!$A$5:$A$300,$J181)=0,1,0))</f>
        <v>0</v>
      </c>
      <c r="AB181" s="186" t="n">
        <f aca="false">IF(AND($F181="原始數據",$S181&lt;&gt;"Active"),1,0)</f>
        <v>0</v>
      </c>
      <c r="AC181" s="186" t="n">
        <f aca="false">IF(AND(ISNUMBER($K181),ISNUMBER($L181),ISNUMBER($Q181)),IF(OR($Q181&lt;MIN($K181,$L181),$Q181&gt;MAX($K181,$L181)),1,0),0)</f>
        <v>0</v>
      </c>
      <c r="AD181" s="186" t="n">
        <f aca="false">IF(AND(ISNUMBER($T181),$P181="高"),IF($T181=3,1,0),0)</f>
        <v>0</v>
      </c>
      <c r="AE181" s="186" t="n">
        <f aca="false">IF($S181="不存在",1,0)</f>
        <v>0</v>
      </c>
      <c r="AF181" s="35" t="n">
        <f aca="false">IF(OR($H181="—",$H181=""),"—",MATCH($H181,IDX_SrcID,0))</f>
        <v>183</v>
      </c>
      <c r="AG181" s="104" t="n">
        <f aca="false">IF(AND($P181="高",OR($AD181=1,$X181=1)),1,0)</f>
        <v>0</v>
      </c>
      <c r="AH181" s="104" t="n">
        <f aca="false">IF(AND($P181="高",$AG181=0,OR($F181&lt;&gt;"原始數據",$T181&lt;&gt;1)),1,0)</f>
        <v>0</v>
      </c>
      <c r="AI181" s="53" t="str">
        <f aca="false">IF(AND($P181="高",ISNUMBER($AF181)),INDEX(IDX_SrcDate,$AF181),"—")</f>
        <v>2026-10-05</v>
      </c>
      <c r="AJ181" s="104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6" t="s">
        <v>3668</v>
      </c>
      <c r="B182" s="215" t="s">
        <v>3183</v>
      </c>
      <c r="C182" s="36" t="s">
        <v>3661</v>
      </c>
      <c r="D182" s="36" t="s">
        <v>3669</v>
      </c>
      <c r="E182" s="19" t="s">
        <v>239</v>
      </c>
      <c r="F182" s="215" t="s">
        <v>298</v>
      </c>
      <c r="G182" s="215" t="s">
        <v>3185</v>
      </c>
      <c r="H182" s="36" t="s">
        <v>3670</v>
      </c>
      <c r="I182" s="19" t="s">
        <v>3220</v>
      </c>
      <c r="J182" s="36" t="s">
        <v>587</v>
      </c>
      <c r="K182" s="215"/>
      <c r="L182" s="215"/>
      <c r="M182" s="36" t="s">
        <v>587</v>
      </c>
      <c r="N182" s="19" t="s">
        <v>3318</v>
      </c>
      <c r="O182" s="6" t="s">
        <v>587</v>
      </c>
      <c r="P182" s="215" t="s">
        <v>1116</v>
      </c>
      <c r="Q182" s="41" t="n">
        <f aca="false">Arch!D7</f>
        <v>49</v>
      </c>
      <c r="R182" s="185" t="n">
        <f aca="false">SRC_MOD_002</f>
        <v>49</v>
      </c>
      <c r="S182" s="35" t="str">
        <f aca="false">IF(ISNUMBER($AF182),INDEX(IDX_SrcStat,$AF182),"—")</f>
        <v>Active</v>
      </c>
      <c r="T182" s="35" t="n">
        <f aca="false">IF(ISNUMBER($AF182),INDEX(IDX_SrcGrade,$AF182),"—")</f>
        <v>1</v>
      </c>
      <c r="U182" s="35" t="s">
        <v>3222</v>
      </c>
      <c r="V182" s="186" t="n">
        <f aca="false">IF(AND($F182="原始數據",$U182&lt;&gt;"連結 SRC"),1,0)</f>
        <v>0</v>
      </c>
      <c r="W182" s="186" t="n">
        <f aca="false">IF(AND($F182="Analogy",OR($H182="—",$H182="")),1,0)</f>
        <v>0</v>
      </c>
      <c r="X182" s="186" t="n">
        <f aca="false">IF(AND(OR($F182="Analogy",$F182="Assumed"),$G182&lt;&gt;"低",$G182&lt;&gt;"高",NOT(ISNUMBER($K182)),NOT(ISNUMBER($L182)),OR($M182="—",$M182="")),1,0)</f>
        <v>0</v>
      </c>
      <c r="Y182" s="186" t="n">
        <f aca="false">IF(AND(OR($F182="Analogy",$F182="Assumed",$F182="Derived（待改公式）",$F182="Derived（公式）"),OR($N182="—",$N182="",$N182=0)),1,0)</f>
        <v>0</v>
      </c>
      <c r="Z182" s="186" t="n">
        <f aca="false">IF(AND($F182="Decision",OR($J182="—",$J182="")),1,0)</f>
        <v>0</v>
      </c>
      <c r="AA182" s="183" t="n">
        <f aca="false">IF(OR($J182="—",$J182=""),0,IF(COUNTIF(Decisions!$A$5:$A$300,$J182)=0,1,0))</f>
        <v>0</v>
      </c>
      <c r="AB182" s="186" t="n">
        <f aca="false">IF(AND($F182="原始數據",$S182&lt;&gt;"Active"),1,0)</f>
        <v>0</v>
      </c>
      <c r="AC182" s="186" t="n">
        <f aca="false">IF(AND(ISNUMBER($K182),ISNUMBER($L182),ISNUMBER($Q182)),IF(OR($Q182&lt;MIN($K182,$L182),$Q182&gt;MAX($K182,$L182)),1,0),0)</f>
        <v>0</v>
      </c>
      <c r="AD182" s="186" t="n">
        <f aca="false">IF(AND(ISNUMBER($T182),$P182="高"),IF($T182=3,1,0),0)</f>
        <v>0</v>
      </c>
      <c r="AE182" s="186" t="n">
        <f aca="false">IF($S182="不存在",1,0)</f>
        <v>0</v>
      </c>
      <c r="AF182" s="35" t="n">
        <f aca="false">IF(OR($H182="—",$H182=""),"—",MATCH($H182,IDX_SrcID,0))</f>
        <v>179</v>
      </c>
      <c r="AG182" s="104" t="n">
        <f aca="false">IF(AND($P182="高",OR($AD182=1,$X182=1)),1,0)</f>
        <v>0</v>
      </c>
      <c r="AH182" s="104" t="n">
        <f aca="false">IF(AND($P182="高",$AG182=0,OR($F182&lt;&gt;"原始數據",$T182&lt;&gt;1)),1,0)</f>
        <v>0</v>
      </c>
      <c r="AI182" s="53" t="str">
        <f aca="false">IF(AND($P182="高",ISNUMBER($AF182)),INDEX(IDX_SrcDate,$AF182),"—")</f>
        <v>2026-10-05</v>
      </c>
      <c r="AJ182" s="104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6" t="s">
        <v>3671</v>
      </c>
      <c r="B183" s="215" t="s">
        <v>3183</v>
      </c>
      <c r="C183" s="36" t="s">
        <v>3661</v>
      </c>
      <c r="D183" s="36" t="s">
        <v>3355</v>
      </c>
      <c r="E183" s="19" t="s">
        <v>241</v>
      </c>
      <c r="F183" s="215" t="s">
        <v>298</v>
      </c>
      <c r="G183" s="215" t="s">
        <v>3185</v>
      </c>
      <c r="H183" s="36" t="s">
        <v>3672</v>
      </c>
      <c r="I183" s="19" t="s">
        <v>3220</v>
      </c>
      <c r="J183" s="36" t="s">
        <v>587</v>
      </c>
      <c r="K183" s="215"/>
      <c r="L183" s="215"/>
      <c r="M183" s="36" t="s">
        <v>587</v>
      </c>
      <c r="N183" s="19" t="s">
        <v>3406</v>
      </c>
      <c r="O183" s="6" t="s">
        <v>587</v>
      </c>
      <c r="P183" s="215" t="s">
        <v>3244</v>
      </c>
      <c r="Q183" s="41" t="n">
        <f aca="false">Arch!C8</f>
        <v>43</v>
      </c>
      <c r="R183" s="185" t="n">
        <f aca="false">SRC_MOD_007</f>
        <v>43</v>
      </c>
      <c r="S183" s="35" t="str">
        <f aca="false">IF(ISNUMBER($AF183),INDEX(IDX_SrcStat,$AF183),"—")</f>
        <v>Active</v>
      </c>
      <c r="T183" s="35" t="n">
        <f aca="false">IF(ISNUMBER($AF183),INDEX(IDX_SrcGrade,$AF183),"—")</f>
        <v>1</v>
      </c>
      <c r="U183" s="35" t="s">
        <v>3222</v>
      </c>
      <c r="V183" s="186" t="n">
        <f aca="false">IF(AND($F183="原始數據",$U183&lt;&gt;"連結 SRC"),1,0)</f>
        <v>0</v>
      </c>
      <c r="W183" s="186" t="n">
        <f aca="false">IF(AND($F183="Analogy",OR($H183="—",$H183="")),1,0)</f>
        <v>0</v>
      </c>
      <c r="X183" s="186" t="n">
        <f aca="false">IF(AND(OR($F183="Analogy",$F183="Assumed"),$G183&lt;&gt;"低",$G183&lt;&gt;"高",NOT(ISNUMBER($K183)),NOT(ISNUMBER($L183)),OR($M183="—",$M183="")),1,0)</f>
        <v>0</v>
      </c>
      <c r="Y183" s="186" t="n">
        <f aca="false">IF(AND(OR($F183="Analogy",$F183="Assumed",$F183="Derived（待改公式）",$F183="Derived（公式）"),OR($N183="—",$N183="",$N183=0)),1,0)</f>
        <v>0</v>
      </c>
      <c r="Z183" s="186" t="n">
        <f aca="false">IF(AND($F183="Decision",OR($J183="—",$J183="")),1,0)</f>
        <v>0</v>
      </c>
      <c r="AA183" s="183" t="n">
        <f aca="false">IF(OR($J183="—",$J183=""),0,IF(COUNTIF(Decisions!$A$5:$A$300,$J183)=0,1,0))</f>
        <v>0</v>
      </c>
      <c r="AB183" s="186" t="n">
        <f aca="false">IF(AND($F183="原始數據",$S183&lt;&gt;"Active"),1,0)</f>
        <v>0</v>
      </c>
      <c r="AC183" s="186" t="n">
        <f aca="false">IF(AND(ISNUMBER($K183),ISNUMBER($L183),ISNUMBER($Q183)),IF(OR($Q183&lt;MIN($K183,$L183),$Q183&gt;MAX($K183,$L183)),1,0),0)</f>
        <v>0</v>
      </c>
      <c r="AD183" s="186" t="n">
        <f aca="false">IF(AND(ISNUMBER($T183),$P183="高"),IF($T183=3,1,0),0)</f>
        <v>0</v>
      </c>
      <c r="AE183" s="186" t="n">
        <f aca="false">IF($S183="不存在",1,0)</f>
        <v>0</v>
      </c>
      <c r="AF183" s="35" t="n">
        <f aca="false">IF(OR($H183="—",$H183=""),"—",MATCH($H183,IDX_SrcID,0))</f>
        <v>184</v>
      </c>
      <c r="AG183" s="104" t="n">
        <f aca="false">IF(AND($P183="高",OR($AD183=1,$X183=1)),1,0)</f>
        <v>0</v>
      </c>
      <c r="AH183" s="104" t="n">
        <f aca="false">IF(AND($P183="高",$AG183=0,OR($F183&lt;&gt;"原始數據",$T183&lt;&gt;1)),1,0)</f>
        <v>0</v>
      </c>
      <c r="AI183" s="53" t="str">
        <f aca="false">IF(AND($P183="高",ISNUMBER($AF183)),INDEX(IDX_SrcDate,$AF183),"—")</f>
        <v>—</v>
      </c>
      <c r="AJ183" s="104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6" t="s">
        <v>3673</v>
      </c>
      <c r="B184" s="215" t="s">
        <v>3183</v>
      </c>
      <c r="C184" s="36" t="s">
        <v>3661</v>
      </c>
      <c r="D184" s="36" t="s">
        <v>3358</v>
      </c>
      <c r="E184" s="19" t="s">
        <v>241</v>
      </c>
      <c r="F184" s="215" t="s">
        <v>298</v>
      </c>
      <c r="G184" s="215" t="s">
        <v>3185</v>
      </c>
      <c r="H184" s="36" t="s">
        <v>3674</v>
      </c>
      <c r="I184" s="19" t="s">
        <v>3220</v>
      </c>
      <c r="J184" s="36" t="s">
        <v>587</v>
      </c>
      <c r="K184" s="215"/>
      <c r="L184" s="215"/>
      <c r="M184" s="36" t="s">
        <v>587</v>
      </c>
      <c r="N184" s="19" t="s">
        <v>3406</v>
      </c>
      <c r="O184" s="6" t="s">
        <v>587</v>
      </c>
      <c r="P184" s="215" t="s">
        <v>3244</v>
      </c>
      <c r="Q184" s="41" t="n">
        <f aca="false">Arch!D8</f>
        <v>61</v>
      </c>
      <c r="R184" s="185" t="n">
        <f aca="false">SRC_MOD_003</f>
        <v>61</v>
      </c>
      <c r="S184" s="35" t="str">
        <f aca="false">IF(ISNUMBER($AF184),INDEX(IDX_SrcStat,$AF184),"—")</f>
        <v>Active</v>
      </c>
      <c r="T184" s="35" t="n">
        <f aca="false">IF(ISNUMBER($AF184),INDEX(IDX_SrcGrade,$AF184),"—")</f>
        <v>3</v>
      </c>
      <c r="U184" s="35" t="s">
        <v>3222</v>
      </c>
      <c r="V184" s="186" t="n">
        <f aca="false">IF(AND($F184="原始數據",$U184&lt;&gt;"連結 SRC"),1,0)</f>
        <v>0</v>
      </c>
      <c r="W184" s="186" t="n">
        <f aca="false">IF(AND($F184="Analogy",OR($H184="—",$H184="")),1,0)</f>
        <v>0</v>
      </c>
      <c r="X184" s="186" t="n">
        <f aca="false">IF(AND(OR($F184="Analogy",$F184="Assumed"),$G184&lt;&gt;"低",$G184&lt;&gt;"高",NOT(ISNUMBER($K184)),NOT(ISNUMBER($L184)),OR($M184="—",$M184="")),1,0)</f>
        <v>0</v>
      </c>
      <c r="Y184" s="186" t="n">
        <f aca="false">IF(AND(OR($F184="Analogy",$F184="Assumed",$F184="Derived（待改公式）",$F184="Derived（公式）"),OR($N184="—",$N184="",$N184=0)),1,0)</f>
        <v>0</v>
      </c>
      <c r="Z184" s="186" t="n">
        <f aca="false">IF(AND($F184="Decision",OR($J184="—",$J184="")),1,0)</f>
        <v>0</v>
      </c>
      <c r="AA184" s="183" t="n">
        <f aca="false">IF(OR($J184="—",$J184=""),0,IF(COUNTIF(Decisions!$A$5:$A$300,$J184)=0,1,0))</f>
        <v>0</v>
      </c>
      <c r="AB184" s="186" t="n">
        <f aca="false">IF(AND($F184="原始數據",$S184&lt;&gt;"Active"),1,0)</f>
        <v>0</v>
      </c>
      <c r="AC184" s="186" t="n">
        <f aca="false">IF(AND(ISNUMBER($K184),ISNUMBER($L184),ISNUMBER($Q184)),IF(OR($Q184&lt;MIN($K184,$L184),$Q184&gt;MAX($K184,$L184)),1,0),0)</f>
        <v>0</v>
      </c>
      <c r="AD184" s="186" t="n">
        <f aca="false">IF(AND(ISNUMBER($T184),$P184="高"),IF($T184=3,1,0),0)</f>
        <v>0</v>
      </c>
      <c r="AE184" s="186" t="n">
        <f aca="false">IF($S184="不存在",1,0)</f>
        <v>0</v>
      </c>
      <c r="AF184" s="35" t="n">
        <f aca="false">IF(OR($H184="—",$H184=""),"—",MATCH($H184,IDX_SrcID,0))</f>
        <v>180</v>
      </c>
      <c r="AG184" s="104" t="n">
        <f aca="false">IF(AND($P184="高",OR($AD184=1,$X184=1)),1,0)</f>
        <v>0</v>
      </c>
      <c r="AH184" s="104" t="n">
        <f aca="false">IF(AND($P184="高",$AG184=0,OR($F184&lt;&gt;"原始數據",$T184&lt;&gt;1)),1,0)</f>
        <v>0</v>
      </c>
      <c r="AI184" s="53" t="str">
        <f aca="false">IF(AND($P184="高",ISNUMBER($AF184)),INDEX(IDX_SrcDate,$AF184),"—")</f>
        <v>—</v>
      </c>
      <c r="AJ184" s="104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6" t="s">
        <v>3675</v>
      </c>
      <c r="B185" s="215" t="s">
        <v>3183</v>
      </c>
      <c r="C185" s="36" t="s">
        <v>3661</v>
      </c>
      <c r="D185" s="36" t="s">
        <v>3400</v>
      </c>
      <c r="E185" s="6" t="s">
        <v>248</v>
      </c>
      <c r="F185" s="215" t="s">
        <v>298</v>
      </c>
      <c r="G185" s="215" t="s">
        <v>3185</v>
      </c>
      <c r="H185" s="36" t="s">
        <v>3676</v>
      </c>
      <c r="I185" s="19" t="s">
        <v>3220</v>
      </c>
      <c r="J185" s="36" t="s">
        <v>587</v>
      </c>
      <c r="K185" s="215"/>
      <c r="L185" s="215"/>
      <c r="M185" s="36" t="s">
        <v>587</v>
      </c>
      <c r="N185" s="19" t="s">
        <v>3318</v>
      </c>
      <c r="O185" s="6" t="s">
        <v>587</v>
      </c>
      <c r="P185" s="215" t="s">
        <v>3244</v>
      </c>
      <c r="Q185" s="41" t="n">
        <f aca="false">Arch!C11</f>
        <v>512</v>
      </c>
      <c r="R185" s="185" t="n">
        <f aca="false">SRC_MOD_009</f>
        <v>512</v>
      </c>
      <c r="S185" s="35" t="str">
        <f aca="false">IF(ISNUMBER($AF185),INDEX(IDX_SrcStat,$AF185),"—")</f>
        <v>Active</v>
      </c>
      <c r="T185" s="35" t="n">
        <f aca="false">IF(ISNUMBER($AF185),INDEX(IDX_SrcGrade,$AF185),"—")</f>
        <v>1</v>
      </c>
      <c r="U185" s="35" t="s">
        <v>3222</v>
      </c>
      <c r="V185" s="186" t="n">
        <f aca="false">IF(AND($F185="原始數據",$U185&lt;&gt;"連結 SRC"),1,0)</f>
        <v>0</v>
      </c>
      <c r="W185" s="186" t="n">
        <f aca="false">IF(AND($F185="Analogy",OR($H185="—",$H185="")),1,0)</f>
        <v>0</v>
      </c>
      <c r="X185" s="186" t="n">
        <f aca="false">IF(AND(OR($F185="Analogy",$F185="Assumed"),$G185&lt;&gt;"低",$G185&lt;&gt;"高",NOT(ISNUMBER($K185)),NOT(ISNUMBER($L185)),OR($M185="—",$M185="")),1,0)</f>
        <v>0</v>
      </c>
      <c r="Y185" s="186" t="n">
        <f aca="false">IF(AND(OR($F185="Analogy",$F185="Assumed",$F185="Derived（待改公式）",$F185="Derived（公式）"),OR($N185="—",$N185="",$N185=0)),1,0)</f>
        <v>0</v>
      </c>
      <c r="Z185" s="186" t="n">
        <f aca="false">IF(AND($F185="Decision",OR($J185="—",$J185="")),1,0)</f>
        <v>0</v>
      </c>
      <c r="AA185" s="183" t="n">
        <f aca="false">IF(OR($J185="—",$J185=""),0,IF(COUNTIF(Decisions!$A$5:$A$300,$J185)=0,1,0))</f>
        <v>0</v>
      </c>
      <c r="AB185" s="186" t="n">
        <f aca="false">IF(AND($F185="原始數據",$S185&lt;&gt;"Active"),1,0)</f>
        <v>0</v>
      </c>
      <c r="AC185" s="186" t="n">
        <f aca="false">IF(AND(ISNUMBER($K185),ISNUMBER($L185),ISNUMBER($Q185)),IF(OR($Q185&lt;MIN($K185,$L185),$Q185&gt;MAX($K185,$L185)),1,0),0)</f>
        <v>0</v>
      </c>
      <c r="AD185" s="186" t="n">
        <f aca="false">IF(AND(ISNUMBER($T185),$P185="高"),IF($T185=3,1,0),0)</f>
        <v>0</v>
      </c>
      <c r="AE185" s="186" t="n">
        <f aca="false">IF($S185="不存在",1,0)</f>
        <v>0</v>
      </c>
      <c r="AF185" s="35" t="n">
        <f aca="false">IF(OR($H185="—",$H185=""),"—",MATCH($H185,IDX_SrcID,0))</f>
        <v>186</v>
      </c>
      <c r="AG185" s="104" t="n">
        <f aca="false">IF(AND($P185="高",OR($AD185=1,$X185=1)),1,0)</f>
        <v>0</v>
      </c>
      <c r="AH185" s="104" t="n">
        <f aca="false">IF(AND($P185="高",$AG185=0,OR($F185&lt;&gt;"原始數據",$T185&lt;&gt;1)),1,0)</f>
        <v>0</v>
      </c>
      <c r="AI185" s="53" t="str">
        <f aca="false">IF(AND($P185="高",ISNUMBER($AF185)),INDEX(IDX_SrcDate,$AF185),"—")</f>
        <v>—</v>
      </c>
      <c r="AJ185" s="104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6" t="s">
        <v>3677</v>
      </c>
      <c r="B186" s="215" t="s">
        <v>3183</v>
      </c>
      <c r="C186" s="36" t="s">
        <v>3661</v>
      </c>
      <c r="D186" s="36" t="s">
        <v>3210</v>
      </c>
      <c r="E186" s="6" t="s">
        <v>248</v>
      </c>
      <c r="F186" s="215" t="s">
        <v>298</v>
      </c>
      <c r="G186" s="215" t="s">
        <v>3185</v>
      </c>
      <c r="H186" s="36" t="s">
        <v>3676</v>
      </c>
      <c r="I186" s="19" t="s">
        <v>3220</v>
      </c>
      <c r="J186" s="36" t="s">
        <v>587</v>
      </c>
      <c r="K186" s="215"/>
      <c r="L186" s="215"/>
      <c r="M186" s="36" t="s">
        <v>587</v>
      </c>
      <c r="N186" s="19" t="s">
        <v>3318</v>
      </c>
      <c r="O186" s="6" t="s">
        <v>587</v>
      </c>
      <c r="P186" s="215" t="s">
        <v>3244</v>
      </c>
      <c r="Q186" s="41" t="n">
        <f aca="false">Arch!D11</f>
        <v>512</v>
      </c>
      <c r="R186" s="185" t="n">
        <f aca="false">SRC_MOD_009</f>
        <v>512</v>
      </c>
      <c r="S186" s="35" t="str">
        <f aca="false">IF(ISNUMBER($AF186),INDEX(IDX_SrcStat,$AF186),"—")</f>
        <v>Active</v>
      </c>
      <c r="T186" s="35" t="n">
        <f aca="false">IF(ISNUMBER($AF186),INDEX(IDX_SrcGrade,$AF186),"—")</f>
        <v>1</v>
      </c>
      <c r="U186" s="35" t="s">
        <v>3222</v>
      </c>
      <c r="V186" s="186" t="n">
        <f aca="false">IF(AND($F186="原始數據",$U186&lt;&gt;"連結 SRC"),1,0)</f>
        <v>0</v>
      </c>
      <c r="W186" s="186" t="n">
        <f aca="false">IF(AND($F186="Analogy",OR($H186="—",$H186="")),1,0)</f>
        <v>0</v>
      </c>
      <c r="X186" s="186" t="n">
        <f aca="false">IF(AND(OR($F186="Analogy",$F186="Assumed"),$G186&lt;&gt;"低",$G186&lt;&gt;"高",NOT(ISNUMBER($K186)),NOT(ISNUMBER($L186)),OR($M186="—",$M186="")),1,0)</f>
        <v>0</v>
      </c>
      <c r="Y186" s="186" t="n">
        <f aca="false">IF(AND(OR($F186="Analogy",$F186="Assumed",$F186="Derived（待改公式）",$F186="Derived（公式）"),OR($N186="—",$N186="",$N186=0)),1,0)</f>
        <v>0</v>
      </c>
      <c r="Z186" s="186" t="n">
        <f aca="false">IF(AND($F186="Decision",OR($J186="—",$J186="")),1,0)</f>
        <v>0</v>
      </c>
      <c r="AA186" s="183" t="n">
        <f aca="false">IF(OR($J186="—",$J186=""),0,IF(COUNTIF(Decisions!$A$5:$A$300,$J186)=0,1,0))</f>
        <v>0</v>
      </c>
      <c r="AB186" s="186" t="n">
        <f aca="false">IF(AND($F186="原始數據",$S186&lt;&gt;"Active"),1,0)</f>
        <v>0</v>
      </c>
      <c r="AC186" s="186" t="n">
        <f aca="false">IF(AND(ISNUMBER($K186),ISNUMBER($L186),ISNUMBER($Q186)),IF(OR($Q186&lt;MIN($K186,$L186),$Q186&gt;MAX($K186,$L186)),1,0),0)</f>
        <v>0</v>
      </c>
      <c r="AD186" s="186" t="n">
        <f aca="false">IF(AND(ISNUMBER($T186),$P186="高"),IF($T186=3,1,0),0)</f>
        <v>0</v>
      </c>
      <c r="AE186" s="186" t="n">
        <f aca="false">IF($S186="不存在",1,0)</f>
        <v>0</v>
      </c>
      <c r="AF186" s="35" t="n">
        <f aca="false">IF(OR($H186="—",$H186=""),"—",MATCH($H186,IDX_SrcID,0))</f>
        <v>186</v>
      </c>
      <c r="AG186" s="104" t="n">
        <f aca="false">IF(AND($P186="高",OR($AD186=1,$X186=1)),1,0)</f>
        <v>0</v>
      </c>
      <c r="AH186" s="104" t="n">
        <f aca="false">IF(AND($P186="高",$AG186=0,OR($F186&lt;&gt;"原始數據",$T186&lt;&gt;1)),1,0)</f>
        <v>0</v>
      </c>
      <c r="AI186" s="53" t="str">
        <f aca="false">IF(AND($P186="高",ISNUMBER($AF186)),INDEX(IDX_SrcDate,$AF186),"—")</f>
        <v>—</v>
      </c>
      <c r="AJ186" s="104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6" t="s">
        <v>3678</v>
      </c>
      <c r="B187" s="215" t="s">
        <v>3183</v>
      </c>
      <c r="C187" s="36" t="s">
        <v>3661</v>
      </c>
      <c r="D187" s="36" t="s">
        <v>3420</v>
      </c>
      <c r="E187" s="6" t="s">
        <v>250</v>
      </c>
      <c r="F187" s="215" t="s">
        <v>298</v>
      </c>
      <c r="G187" s="215" t="s">
        <v>3185</v>
      </c>
      <c r="H187" s="36" t="s">
        <v>3679</v>
      </c>
      <c r="I187" s="19" t="s">
        <v>3220</v>
      </c>
      <c r="J187" s="36" t="s">
        <v>587</v>
      </c>
      <c r="K187" s="215"/>
      <c r="L187" s="215"/>
      <c r="M187" s="36" t="s">
        <v>587</v>
      </c>
      <c r="N187" s="19" t="s">
        <v>3406</v>
      </c>
      <c r="O187" s="6" t="s">
        <v>587</v>
      </c>
      <c r="P187" s="215" t="s">
        <v>3244</v>
      </c>
      <c r="Q187" s="41" t="n">
        <f aca="false">Arch!C12</f>
        <v>256</v>
      </c>
      <c r="R187" s="185" t="n">
        <f aca="false">SRC_MOD_010</f>
        <v>256</v>
      </c>
      <c r="S187" s="35" t="str">
        <f aca="false">IF(ISNUMBER($AF187),INDEX(IDX_SrcStat,$AF187),"—")</f>
        <v>Active</v>
      </c>
      <c r="T187" s="35" t="n">
        <f aca="false">IF(ISNUMBER($AF187),INDEX(IDX_SrcGrade,$AF187),"—")</f>
        <v>1</v>
      </c>
      <c r="U187" s="35" t="s">
        <v>3222</v>
      </c>
      <c r="V187" s="186" t="n">
        <f aca="false">IF(AND($F187="原始數據",$U187&lt;&gt;"連結 SRC"),1,0)</f>
        <v>0</v>
      </c>
      <c r="W187" s="186" t="n">
        <f aca="false">IF(AND($F187="Analogy",OR($H187="—",$H187="")),1,0)</f>
        <v>0</v>
      </c>
      <c r="X187" s="186" t="n">
        <f aca="false">IF(AND(OR($F187="Analogy",$F187="Assumed"),$G187&lt;&gt;"低",$G187&lt;&gt;"高",NOT(ISNUMBER($K187)),NOT(ISNUMBER($L187)),OR($M187="—",$M187="")),1,0)</f>
        <v>0</v>
      </c>
      <c r="Y187" s="186" t="n">
        <f aca="false">IF(AND(OR($F187="Analogy",$F187="Assumed",$F187="Derived（待改公式）",$F187="Derived（公式）"),OR($N187="—",$N187="",$N187=0)),1,0)</f>
        <v>0</v>
      </c>
      <c r="Z187" s="186" t="n">
        <f aca="false">IF(AND($F187="Decision",OR($J187="—",$J187="")),1,0)</f>
        <v>0</v>
      </c>
      <c r="AA187" s="183" t="n">
        <f aca="false">IF(OR($J187="—",$J187=""),0,IF(COUNTIF(Decisions!$A$5:$A$300,$J187)=0,1,0))</f>
        <v>0</v>
      </c>
      <c r="AB187" s="186" t="n">
        <f aca="false">IF(AND($F187="原始數據",$S187&lt;&gt;"Active"),1,0)</f>
        <v>0</v>
      </c>
      <c r="AC187" s="186" t="n">
        <f aca="false">IF(AND(ISNUMBER($K187),ISNUMBER($L187),ISNUMBER($Q187)),IF(OR($Q187&lt;MIN($K187,$L187),$Q187&gt;MAX($K187,$L187)),1,0),0)</f>
        <v>0</v>
      </c>
      <c r="AD187" s="186" t="n">
        <f aca="false">IF(AND(ISNUMBER($T187),$P187="高"),IF($T187=3,1,0),0)</f>
        <v>0</v>
      </c>
      <c r="AE187" s="186" t="n">
        <f aca="false">IF($S187="不存在",1,0)</f>
        <v>0</v>
      </c>
      <c r="AF187" s="35" t="n">
        <f aca="false">IF(OR($H187="—",$H187=""),"—",MATCH($H187,IDX_SrcID,0))</f>
        <v>187</v>
      </c>
      <c r="AG187" s="104" t="n">
        <f aca="false">IF(AND($P187="高",OR($AD187=1,$X187=1)),1,0)</f>
        <v>0</v>
      </c>
      <c r="AH187" s="104" t="n">
        <f aca="false">IF(AND($P187="高",$AG187=0,OR($F187&lt;&gt;"原始數據",$T187&lt;&gt;1)),1,0)</f>
        <v>0</v>
      </c>
      <c r="AI187" s="53" t="str">
        <f aca="false">IF(AND($P187="高",ISNUMBER($AF187)),INDEX(IDX_SrcDate,$AF187),"—")</f>
        <v>—</v>
      </c>
      <c r="AJ187" s="104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6" t="s">
        <v>3680</v>
      </c>
      <c r="B188" s="215" t="s">
        <v>3183</v>
      </c>
      <c r="C188" s="36" t="s">
        <v>3661</v>
      </c>
      <c r="D188" s="36" t="s">
        <v>3424</v>
      </c>
      <c r="E188" s="6" t="s">
        <v>250</v>
      </c>
      <c r="F188" s="215" t="s">
        <v>298</v>
      </c>
      <c r="G188" s="215" t="s">
        <v>3185</v>
      </c>
      <c r="H188" s="36" t="s">
        <v>3681</v>
      </c>
      <c r="I188" s="19" t="s">
        <v>3220</v>
      </c>
      <c r="J188" s="36" t="s">
        <v>587</v>
      </c>
      <c r="K188" s="215"/>
      <c r="L188" s="215"/>
      <c r="M188" s="36" t="s">
        <v>587</v>
      </c>
      <c r="N188" s="19" t="s">
        <v>3406</v>
      </c>
      <c r="O188" s="6" t="s">
        <v>587</v>
      </c>
      <c r="P188" s="215" t="s">
        <v>3244</v>
      </c>
      <c r="Q188" s="41" t="n">
        <f aca="false">Arch!D12</f>
        <v>384</v>
      </c>
      <c r="R188" s="185" t="n">
        <f aca="false">SRC_MOD_011</f>
        <v>384</v>
      </c>
      <c r="S188" s="35" t="str">
        <f aca="false">IF(ISNUMBER($AF188),INDEX(IDX_SrcStat,$AF188),"—")</f>
        <v>Active</v>
      </c>
      <c r="T188" s="35" t="n">
        <f aca="false">IF(ISNUMBER($AF188),INDEX(IDX_SrcGrade,$AF188),"—")</f>
        <v>1</v>
      </c>
      <c r="U188" s="35" t="s">
        <v>3222</v>
      </c>
      <c r="V188" s="186" t="n">
        <f aca="false">IF(AND($F188="原始數據",$U188&lt;&gt;"連結 SRC"),1,0)</f>
        <v>0</v>
      </c>
      <c r="W188" s="186" t="n">
        <f aca="false">IF(AND($F188="Analogy",OR($H188="—",$H188="")),1,0)</f>
        <v>0</v>
      </c>
      <c r="X188" s="186" t="n">
        <f aca="false">IF(AND(OR($F188="Analogy",$F188="Assumed"),$G188&lt;&gt;"低",$G188&lt;&gt;"高",NOT(ISNUMBER($K188)),NOT(ISNUMBER($L188)),OR($M188="—",$M188="")),1,0)</f>
        <v>0</v>
      </c>
      <c r="Y188" s="186" t="n">
        <f aca="false">IF(AND(OR($F188="Analogy",$F188="Assumed",$F188="Derived（待改公式）",$F188="Derived（公式）"),OR($N188="—",$N188="",$N188=0)),1,0)</f>
        <v>0</v>
      </c>
      <c r="Z188" s="186" t="n">
        <f aca="false">IF(AND($F188="Decision",OR($J188="—",$J188="")),1,0)</f>
        <v>0</v>
      </c>
      <c r="AA188" s="183" t="n">
        <f aca="false">IF(OR($J188="—",$J188=""),0,IF(COUNTIF(Decisions!$A$5:$A$300,$J188)=0,1,0))</f>
        <v>0</v>
      </c>
      <c r="AB188" s="186" t="n">
        <f aca="false">IF(AND($F188="原始數據",$S188&lt;&gt;"Active"),1,0)</f>
        <v>0</v>
      </c>
      <c r="AC188" s="186" t="n">
        <f aca="false">IF(AND(ISNUMBER($K188),ISNUMBER($L188),ISNUMBER($Q188)),IF(OR($Q188&lt;MIN($K188,$L188),$Q188&gt;MAX($K188,$L188)),1,0),0)</f>
        <v>0</v>
      </c>
      <c r="AD188" s="186" t="n">
        <f aca="false">IF(AND(ISNUMBER($T188),$P188="高"),IF($T188=3,1,0),0)</f>
        <v>0</v>
      </c>
      <c r="AE188" s="186" t="n">
        <f aca="false">IF($S188="不存在",1,0)</f>
        <v>0</v>
      </c>
      <c r="AF188" s="35" t="n">
        <f aca="false">IF(OR($H188="—",$H188=""),"—",MATCH($H188,IDX_SrcID,0))</f>
        <v>188</v>
      </c>
      <c r="AG188" s="104" t="n">
        <f aca="false">IF(AND($P188="高",OR($AD188=1,$X188=1)),1,0)</f>
        <v>0</v>
      </c>
      <c r="AH188" s="104" t="n">
        <f aca="false">IF(AND($P188="高",$AG188=0,OR($F188&lt;&gt;"原始數據",$T188&lt;&gt;1)),1,0)</f>
        <v>0</v>
      </c>
      <c r="AI188" s="53" t="str">
        <f aca="false">IF(AND($P188="高",ISNUMBER($AF188)),INDEX(IDX_SrcDate,$AF188),"—")</f>
        <v>—</v>
      </c>
      <c r="AJ188" s="104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6" t="s">
        <v>3682</v>
      </c>
      <c r="B189" s="215" t="s">
        <v>3183</v>
      </c>
      <c r="C189" s="36" t="s">
        <v>3661</v>
      </c>
      <c r="D189" s="36" t="s">
        <v>3438</v>
      </c>
      <c r="E189" s="19" t="s">
        <v>3683</v>
      </c>
      <c r="F189" s="215" t="s">
        <v>298</v>
      </c>
      <c r="G189" s="215" t="s">
        <v>3185</v>
      </c>
      <c r="H189" s="36" t="s">
        <v>3684</v>
      </c>
      <c r="I189" s="19" t="s">
        <v>3220</v>
      </c>
      <c r="J189" s="36" t="s">
        <v>587</v>
      </c>
      <c r="K189" s="215"/>
      <c r="L189" s="215"/>
      <c r="M189" s="36" t="s">
        <v>587</v>
      </c>
      <c r="N189" s="19" t="s">
        <v>3406</v>
      </c>
      <c r="O189" s="6" t="s">
        <v>587</v>
      </c>
      <c r="P189" s="215" t="s">
        <v>3244</v>
      </c>
      <c r="Q189" s="41" t="n">
        <f aca="false">Arch!C13</f>
        <v>6</v>
      </c>
      <c r="R189" s="185" t="n">
        <f aca="false">SRC_MOD_012</f>
        <v>6</v>
      </c>
      <c r="S189" s="35" t="str">
        <f aca="false">IF(ISNUMBER($AF189),INDEX(IDX_SrcStat,$AF189),"—")</f>
        <v>Active</v>
      </c>
      <c r="T189" s="35" t="n">
        <f aca="false">IF(ISNUMBER($AF189),INDEX(IDX_SrcGrade,$AF189),"—")</f>
        <v>1</v>
      </c>
      <c r="U189" s="35" t="s">
        <v>3222</v>
      </c>
      <c r="V189" s="186" t="n">
        <f aca="false">IF(AND($F189="原始數據",$U189&lt;&gt;"連結 SRC"),1,0)</f>
        <v>0</v>
      </c>
      <c r="W189" s="186" t="n">
        <f aca="false">IF(AND($F189="Analogy",OR($H189="—",$H189="")),1,0)</f>
        <v>0</v>
      </c>
      <c r="X189" s="186" t="n">
        <f aca="false">IF(AND(OR($F189="Analogy",$F189="Assumed"),$G189&lt;&gt;"低",$G189&lt;&gt;"高",NOT(ISNUMBER($K189)),NOT(ISNUMBER($L189)),OR($M189="—",$M189="")),1,0)</f>
        <v>0</v>
      </c>
      <c r="Y189" s="186" t="n">
        <f aca="false">IF(AND(OR($F189="Analogy",$F189="Assumed",$F189="Derived（待改公式）",$F189="Derived（公式）"),OR($N189="—",$N189="",$N189=0)),1,0)</f>
        <v>0</v>
      </c>
      <c r="Z189" s="186" t="n">
        <f aca="false">IF(AND($F189="Decision",OR($J189="—",$J189="")),1,0)</f>
        <v>0</v>
      </c>
      <c r="AA189" s="183" t="n">
        <f aca="false">IF(OR($J189="—",$J189=""),0,IF(COUNTIF(Decisions!$A$5:$A$300,$J189)=0,1,0))</f>
        <v>0</v>
      </c>
      <c r="AB189" s="186" t="n">
        <f aca="false">IF(AND($F189="原始數據",$S189&lt;&gt;"Active"),1,0)</f>
        <v>0</v>
      </c>
      <c r="AC189" s="186" t="n">
        <f aca="false">IF(AND(ISNUMBER($K189),ISNUMBER($L189),ISNUMBER($Q189)),IF(OR($Q189&lt;MIN($K189,$L189),$Q189&gt;MAX($K189,$L189)),1,0),0)</f>
        <v>0</v>
      </c>
      <c r="AD189" s="186" t="n">
        <f aca="false">IF(AND(ISNUMBER($T189),$P189="高"),IF($T189=3,1,0),0)</f>
        <v>0</v>
      </c>
      <c r="AE189" s="186" t="n">
        <f aca="false">IF($S189="不存在",1,0)</f>
        <v>0</v>
      </c>
      <c r="AF189" s="35" t="n">
        <f aca="false">IF(OR($H189="—",$H189=""),"—",MATCH($H189,IDX_SrcID,0))</f>
        <v>189</v>
      </c>
      <c r="AG189" s="104" t="n">
        <f aca="false">IF(AND($P189="高",OR($AD189=1,$X189=1)),1,0)</f>
        <v>0</v>
      </c>
      <c r="AH189" s="104" t="n">
        <f aca="false">IF(AND($P189="高",$AG189=0,OR($F189&lt;&gt;"原始數據",$T189&lt;&gt;1)),1,0)</f>
        <v>0</v>
      </c>
      <c r="AI189" s="53" t="str">
        <f aca="false">IF(AND($P189="高",ISNUMBER($AF189)),INDEX(IDX_SrcDate,$AF189),"—")</f>
        <v>—</v>
      </c>
      <c r="AJ189" s="104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6" t="s">
        <v>3685</v>
      </c>
      <c r="B190" s="215" t="s">
        <v>3183</v>
      </c>
      <c r="C190" s="36" t="s">
        <v>3661</v>
      </c>
      <c r="D190" s="36" t="s">
        <v>3216</v>
      </c>
      <c r="E190" s="19" t="s">
        <v>3683</v>
      </c>
      <c r="F190" s="215" t="s">
        <v>298</v>
      </c>
      <c r="G190" s="215" t="s">
        <v>3185</v>
      </c>
      <c r="H190" s="36" t="s">
        <v>3684</v>
      </c>
      <c r="I190" s="19" t="s">
        <v>3220</v>
      </c>
      <c r="J190" s="36" t="s">
        <v>587</v>
      </c>
      <c r="K190" s="215"/>
      <c r="L190" s="215"/>
      <c r="M190" s="36" t="s">
        <v>587</v>
      </c>
      <c r="N190" s="19" t="s">
        <v>3406</v>
      </c>
      <c r="O190" s="6" t="s">
        <v>587</v>
      </c>
      <c r="P190" s="215" t="s">
        <v>3244</v>
      </c>
      <c r="Q190" s="41" t="n">
        <f aca="false">Arch!D13</f>
        <v>6</v>
      </c>
      <c r="R190" s="185" t="n">
        <f aca="false">SRC_MOD_012</f>
        <v>6</v>
      </c>
      <c r="S190" s="35" t="str">
        <f aca="false">IF(ISNUMBER($AF190),INDEX(IDX_SrcStat,$AF190),"—")</f>
        <v>Active</v>
      </c>
      <c r="T190" s="35" t="n">
        <f aca="false">IF(ISNUMBER($AF190),INDEX(IDX_SrcGrade,$AF190),"—")</f>
        <v>1</v>
      </c>
      <c r="U190" s="35" t="s">
        <v>3222</v>
      </c>
      <c r="V190" s="186" t="n">
        <f aca="false">IF(AND($F190="原始數據",$U190&lt;&gt;"連結 SRC"),1,0)</f>
        <v>0</v>
      </c>
      <c r="W190" s="186" t="n">
        <f aca="false">IF(AND($F190="Analogy",OR($H190="—",$H190="")),1,0)</f>
        <v>0</v>
      </c>
      <c r="X190" s="186" t="n">
        <f aca="false">IF(AND(OR($F190="Analogy",$F190="Assumed"),$G190&lt;&gt;"低",$G190&lt;&gt;"高",NOT(ISNUMBER($K190)),NOT(ISNUMBER($L190)),OR($M190="—",$M190="")),1,0)</f>
        <v>0</v>
      </c>
      <c r="Y190" s="186" t="n">
        <f aca="false">IF(AND(OR($F190="Analogy",$F190="Assumed",$F190="Derived（待改公式）",$F190="Derived（公式）"),OR($N190="—",$N190="",$N190=0)),1,0)</f>
        <v>0</v>
      </c>
      <c r="Z190" s="186" t="n">
        <f aca="false">IF(AND($F190="Decision",OR($J190="—",$J190="")),1,0)</f>
        <v>0</v>
      </c>
      <c r="AA190" s="183" t="n">
        <f aca="false">IF(OR($J190="—",$J190=""),0,IF(COUNTIF(Decisions!$A$5:$A$300,$J190)=0,1,0))</f>
        <v>0</v>
      </c>
      <c r="AB190" s="186" t="n">
        <f aca="false">IF(AND($F190="原始數據",$S190&lt;&gt;"Active"),1,0)</f>
        <v>0</v>
      </c>
      <c r="AC190" s="186" t="n">
        <f aca="false">IF(AND(ISNUMBER($K190),ISNUMBER($L190),ISNUMBER($Q190)),IF(OR($Q190&lt;MIN($K190,$L190),$Q190&gt;MAX($K190,$L190)),1,0),0)</f>
        <v>0</v>
      </c>
      <c r="AD190" s="186" t="n">
        <f aca="false">IF(AND(ISNUMBER($T190),$P190="高"),IF($T190=3,1,0),0)</f>
        <v>0</v>
      </c>
      <c r="AE190" s="186" t="n">
        <f aca="false">IF($S190="不存在",1,0)</f>
        <v>0</v>
      </c>
      <c r="AF190" s="35" t="n">
        <f aca="false">IF(OR($H190="—",$H190=""),"—",MATCH($H190,IDX_SrcID,0))</f>
        <v>189</v>
      </c>
      <c r="AG190" s="104" t="n">
        <f aca="false">IF(AND($P190="高",OR($AD190=1,$X190=1)),1,0)</f>
        <v>0</v>
      </c>
      <c r="AH190" s="104" t="n">
        <f aca="false">IF(AND($P190="高",$AG190=0,OR($F190&lt;&gt;"原始數據",$T190&lt;&gt;1)),1,0)</f>
        <v>0</v>
      </c>
      <c r="AI190" s="53" t="str">
        <f aca="false">IF(AND($P190="高",ISNUMBER($AF190)),INDEX(IDX_SrcDate,$AF190),"—")</f>
        <v>—</v>
      </c>
      <c r="AJ190" s="104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6" t="s">
        <v>3686</v>
      </c>
      <c r="B191" s="215" t="s">
        <v>3183</v>
      </c>
      <c r="C191" s="36" t="s">
        <v>3661</v>
      </c>
      <c r="D191" s="36" t="s">
        <v>3687</v>
      </c>
      <c r="E191" s="6" t="s">
        <v>252</v>
      </c>
      <c r="F191" s="215" t="s">
        <v>298</v>
      </c>
      <c r="G191" s="215" t="s">
        <v>3185</v>
      </c>
      <c r="H191" s="36" t="s">
        <v>3688</v>
      </c>
      <c r="I191" s="19" t="s">
        <v>3220</v>
      </c>
      <c r="J191" s="36" t="s">
        <v>587</v>
      </c>
      <c r="K191" s="215"/>
      <c r="L191" s="215"/>
      <c r="M191" s="36" t="s">
        <v>587</v>
      </c>
      <c r="N191" s="19" t="s">
        <v>3318</v>
      </c>
      <c r="O191" s="6" t="s">
        <v>587</v>
      </c>
      <c r="P191" s="215" t="s">
        <v>1115</v>
      </c>
      <c r="Q191" s="41" t="n">
        <f aca="false">Arch!C14</f>
        <v>1</v>
      </c>
      <c r="R191" s="185" t="n">
        <f aca="false">SRC_MOD_013</f>
        <v>1</v>
      </c>
      <c r="S191" s="35" t="str">
        <f aca="false">IF(ISNUMBER($AF191),INDEX(IDX_SrcStat,$AF191),"—")</f>
        <v>Active</v>
      </c>
      <c r="T191" s="35" t="n">
        <f aca="false">IF(ISNUMBER($AF191),INDEX(IDX_SrcGrade,$AF191),"—")</f>
        <v>1</v>
      </c>
      <c r="U191" s="35" t="s">
        <v>3222</v>
      </c>
      <c r="V191" s="186" t="n">
        <f aca="false">IF(AND($F191="原始數據",$U191&lt;&gt;"連結 SRC"),1,0)</f>
        <v>0</v>
      </c>
      <c r="W191" s="186" t="n">
        <f aca="false">IF(AND($F191="Analogy",OR($H191="—",$H191="")),1,0)</f>
        <v>0</v>
      </c>
      <c r="X191" s="186" t="n">
        <f aca="false">IF(AND(OR($F191="Analogy",$F191="Assumed"),$G191&lt;&gt;"低",$G191&lt;&gt;"高",NOT(ISNUMBER($K191)),NOT(ISNUMBER($L191)),OR($M191="—",$M191="")),1,0)</f>
        <v>0</v>
      </c>
      <c r="Y191" s="186" t="n">
        <f aca="false">IF(AND(OR($F191="Analogy",$F191="Assumed",$F191="Derived（待改公式）",$F191="Derived（公式）"),OR($N191="—",$N191="",$N191=0)),1,0)</f>
        <v>0</v>
      </c>
      <c r="Z191" s="186" t="n">
        <f aca="false">IF(AND($F191="Decision",OR($J191="—",$J191="")),1,0)</f>
        <v>0</v>
      </c>
      <c r="AA191" s="183" t="n">
        <f aca="false">IF(OR($J191="—",$J191=""),0,IF(COUNTIF(Decisions!$A$5:$A$300,$J191)=0,1,0))</f>
        <v>0</v>
      </c>
      <c r="AB191" s="186" t="n">
        <f aca="false">IF(AND($F191="原始數據",$S191&lt;&gt;"Active"),1,0)</f>
        <v>0</v>
      </c>
      <c r="AC191" s="186" t="n">
        <f aca="false">IF(AND(ISNUMBER($K191),ISNUMBER($L191),ISNUMBER($Q191)),IF(OR($Q191&lt;MIN($K191,$L191),$Q191&gt;MAX($K191,$L191)),1,0),0)</f>
        <v>0</v>
      </c>
      <c r="AD191" s="186" t="n">
        <f aca="false">IF(AND(ISNUMBER($T191),$P191="高"),IF($T191=3,1,0),0)</f>
        <v>0</v>
      </c>
      <c r="AE191" s="186" t="n">
        <f aca="false">IF($S191="不存在",1,0)</f>
        <v>0</v>
      </c>
      <c r="AF191" s="35" t="n">
        <f aca="false">IF(OR($H191="—",$H191=""),"—",MATCH($H191,IDX_SrcID,0))</f>
        <v>190</v>
      </c>
      <c r="AG191" s="104" t="n">
        <f aca="false">IF(AND($P191="高",OR($AD191=1,$X191=1)),1,0)</f>
        <v>0</v>
      </c>
      <c r="AH191" s="104" t="n">
        <f aca="false">IF(AND($P191="高",$AG191=0,OR($F191&lt;&gt;"原始數據",$T191&lt;&gt;1)),1,0)</f>
        <v>0</v>
      </c>
      <c r="AI191" s="53" t="str">
        <f aca="false">IF(AND($P191="高",ISNUMBER($AF191)),INDEX(IDX_SrcDate,$AF191),"—")</f>
        <v>—</v>
      </c>
      <c r="AJ191" s="104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6" t="s">
        <v>3689</v>
      </c>
      <c r="B192" s="215" t="s">
        <v>3183</v>
      </c>
      <c r="C192" s="36" t="s">
        <v>3661</v>
      </c>
      <c r="D192" s="36" t="s">
        <v>3226</v>
      </c>
      <c r="E192" s="6" t="s">
        <v>252</v>
      </c>
      <c r="F192" s="215" t="s">
        <v>298</v>
      </c>
      <c r="G192" s="215" t="s">
        <v>3185</v>
      </c>
      <c r="H192" s="36" t="s">
        <v>3688</v>
      </c>
      <c r="I192" s="19" t="s">
        <v>3220</v>
      </c>
      <c r="J192" s="36" t="s">
        <v>587</v>
      </c>
      <c r="K192" s="215"/>
      <c r="L192" s="215"/>
      <c r="M192" s="36" t="s">
        <v>587</v>
      </c>
      <c r="N192" s="19" t="s">
        <v>3318</v>
      </c>
      <c r="O192" s="6" t="s">
        <v>587</v>
      </c>
      <c r="P192" s="215" t="s">
        <v>1115</v>
      </c>
      <c r="Q192" s="41" t="n">
        <f aca="false">Arch!D14</f>
        <v>1</v>
      </c>
      <c r="R192" s="185" t="n">
        <f aca="false">SRC_MOD_013</f>
        <v>1</v>
      </c>
      <c r="S192" s="35" t="str">
        <f aca="false">IF(ISNUMBER($AF192),INDEX(IDX_SrcStat,$AF192),"—")</f>
        <v>Active</v>
      </c>
      <c r="T192" s="35" t="n">
        <f aca="false">IF(ISNUMBER($AF192),INDEX(IDX_SrcGrade,$AF192),"—")</f>
        <v>1</v>
      </c>
      <c r="U192" s="35" t="s">
        <v>3222</v>
      </c>
      <c r="V192" s="186" t="n">
        <f aca="false">IF(AND($F192="原始數據",$U192&lt;&gt;"連結 SRC"),1,0)</f>
        <v>0</v>
      </c>
      <c r="W192" s="186" t="n">
        <f aca="false">IF(AND($F192="Analogy",OR($H192="—",$H192="")),1,0)</f>
        <v>0</v>
      </c>
      <c r="X192" s="186" t="n">
        <f aca="false">IF(AND(OR($F192="Analogy",$F192="Assumed"),$G192&lt;&gt;"低",$G192&lt;&gt;"高",NOT(ISNUMBER($K192)),NOT(ISNUMBER($L192)),OR($M192="—",$M192="")),1,0)</f>
        <v>0</v>
      </c>
      <c r="Y192" s="186" t="n">
        <f aca="false">IF(AND(OR($F192="Analogy",$F192="Assumed",$F192="Derived（待改公式）",$F192="Derived（公式）"),OR($N192="—",$N192="",$N192=0)),1,0)</f>
        <v>0</v>
      </c>
      <c r="Z192" s="186" t="n">
        <f aca="false">IF(AND($F192="Decision",OR($J192="—",$J192="")),1,0)</f>
        <v>0</v>
      </c>
      <c r="AA192" s="183" t="n">
        <f aca="false">IF(OR($J192="—",$J192=""),0,IF(COUNTIF(Decisions!$A$5:$A$300,$J192)=0,1,0))</f>
        <v>0</v>
      </c>
      <c r="AB192" s="186" t="n">
        <f aca="false">IF(AND($F192="原始數據",$S192&lt;&gt;"Active"),1,0)</f>
        <v>0</v>
      </c>
      <c r="AC192" s="186" t="n">
        <f aca="false">IF(AND(ISNUMBER($K192),ISNUMBER($L192),ISNUMBER($Q192)),IF(OR($Q192&lt;MIN($K192,$L192),$Q192&gt;MAX($K192,$L192)),1,0),0)</f>
        <v>0</v>
      </c>
      <c r="AD192" s="186" t="n">
        <f aca="false">IF(AND(ISNUMBER($T192),$P192="高"),IF($T192=3,1,0),0)</f>
        <v>0</v>
      </c>
      <c r="AE192" s="186" t="n">
        <f aca="false">IF($S192="不存在",1,0)</f>
        <v>0</v>
      </c>
      <c r="AF192" s="35" t="n">
        <f aca="false">IF(OR($H192="—",$H192=""),"—",MATCH($H192,IDX_SrcID,0))</f>
        <v>190</v>
      </c>
      <c r="AG192" s="104" t="n">
        <f aca="false">IF(AND($P192="高",OR($AD192=1,$X192=1)),1,0)</f>
        <v>0</v>
      </c>
      <c r="AH192" s="104" t="n">
        <f aca="false">IF(AND($P192="高",$AG192=0,OR($F192&lt;&gt;"原始數據",$T192&lt;&gt;1)),1,0)</f>
        <v>0</v>
      </c>
      <c r="AI192" s="53" t="str">
        <f aca="false">IF(AND($P192="高",ISNUMBER($AF192)),INDEX(IDX_SrcDate,$AF192),"—")</f>
        <v>—</v>
      </c>
      <c r="AJ192" s="104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6" t="s">
        <v>3690</v>
      </c>
      <c r="B193" s="215" t="s">
        <v>3183</v>
      </c>
      <c r="C193" s="36" t="s">
        <v>3661</v>
      </c>
      <c r="D193" s="36" t="s">
        <v>3691</v>
      </c>
      <c r="E193" s="6" t="s">
        <v>253</v>
      </c>
      <c r="F193" s="215" t="s">
        <v>298</v>
      </c>
      <c r="G193" s="215" t="s">
        <v>3185</v>
      </c>
      <c r="H193" s="36" t="s">
        <v>3692</v>
      </c>
      <c r="I193" s="19" t="s">
        <v>3220</v>
      </c>
      <c r="J193" s="36" t="s">
        <v>587</v>
      </c>
      <c r="K193" s="215"/>
      <c r="L193" s="215"/>
      <c r="M193" s="36" t="s">
        <v>587</v>
      </c>
      <c r="N193" s="19" t="s">
        <v>3318</v>
      </c>
      <c r="O193" s="6" t="s">
        <v>587</v>
      </c>
      <c r="P193" s="215" t="s">
        <v>3188</v>
      </c>
      <c r="Q193" s="41" t="n">
        <f aca="false">Arch!C15</f>
        <v>129280</v>
      </c>
      <c r="R193" s="185" t="n">
        <f aca="false">SRC_MOD_014</f>
        <v>129280</v>
      </c>
      <c r="S193" s="35" t="str">
        <f aca="false">IF(ISNUMBER($AF193),INDEX(IDX_SrcStat,$AF193),"—")</f>
        <v>Active</v>
      </c>
      <c r="T193" s="35" t="n">
        <f aca="false">IF(ISNUMBER($AF193),INDEX(IDX_SrcGrade,$AF193),"—")</f>
        <v>1</v>
      </c>
      <c r="U193" s="35" t="s">
        <v>3222</v>
      </c>
      <c r="V193" s="186" t="n">
        <f aca="false">IF(AND($F193="原始數據",$U193&lt;&gt;"連結 SRC"),1,0)</f>
        <v>0</v>
      </c>
      <c r="W193" s="186" t="n">
        <f aca="false">IF(AND($F193="Analogy",OR($H193="—",$H193="")),1,0)</f>
        <v>0</v>
      </c>
      <c r="X193" s="186" t="n">
        <f aca="false">IF(AND(OR($F193="Analogy",$F193="Assumed"),$G193&lt;&gt;"低",$G193&lt;&gt;"高",NOT(ISNUMBER($K193)),NOT(ISNUMBER($L193)),OR($M193="—",$M193="")),1,0)</f>
        <v>0</v>
      </c>
      <c r="Y193" s="186" t="n">
        <f aca="false">IF(AND(OR($F193="Analogy",$F193="Assumed",$F193="Derived（待改公式）",$F193="Derived（公式）"),OR($N193="—",$N193="",$N193=0)),1,0)</f>
        <v>0</v>
      </c>
      <c r="Z193" s="186" t="n">
        <f aca="false">IF(AND($F193="Decision",OR($J193="—",$J193="")),1,0)</f>
        <v>0</v>
      </c>
      <c r="AA193" s="183" t="n">
        <f aca="false">IF(OR($J193="—",$J193=""),0,IF(COUNTIF(Decisions!$A$5:$A$300,$J193)=0,1,0))</f>
        <v>0</v>
      </c>
      <c r="AB193" s="186" t="n">
        <f aca="false">IF(AND($F193="原始數據",$S193&lt;&gt;"Active"),1,0)</f>
        <v>0</v>
      </c>
      <c r="AC193" s="186" t="n">
        <f aca="false">IF(AND(ISNUMBER($K193),ISNUMBER($L193),ISNUMBER($Q193)),IF(OR($Q193&lt;MIN($K193,$L193),$Q193&gt;MAX($K193,$L193)),1,0),0)</f>
        <v>0</v>
      </c>
      <c r="AD193" s="186" t="n">
        <f aca="false">IF(AND(ISNUMBER($T193),$P193="高"),IF($T193=3,1,0),0)</f>
        <v>0</v>
      </c>
      <c r="AE193" s="186" t="n">
        <f aca="false">IF($S193="不存在",1,0)</f>
        <v>0</v>
      </c>
      <c r="AF193" s="35" t="n">
        <f aca="false">IF(OR($H193="—",$H193=""),"—",MATCH($H193,IDX_SrcID,0))</f>
        <v>191</v>
      </c>
      <c r="AG193" s="104" t="n">
        <f aca="false">IF(AND($P193="高",OR($AD193=1,$X193=1)),1,0)</f>
        <v>0</v>
      </c>
      <c r="AH193" s="104" t="n">
        <f aca="false">IF(AND($P193="高",$AG193=0,OR($F193&lt;&gt;"原始數據",$T193&lt;&gt;1)),1,0)</f>
        <v>0</v>
      </c>
      <c r="AI193" s="53" t="str">
        <f aca="false">IF(AND($P193="高",ISNUMBER($AF193)),INDEX(IDX_SrcDate,$AF193),"—")</f>
        <v>—</v>
      </c>
      <c r="AJ193" s="104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6" t="s">
        <v>3693</v>
      </c>
      <c r="B194" s="215" t="s">
        <v>3183</v>
      </c>
      <c r="C194" s="36" t="s">
        <v>3661</v>
      </c>
      <c r="D194" s="36" t="s">
        <v>3694</v>
      </c>
      <c r="E194" s="6" t="s">
        <v>253</v>
      </c>
      <c r="F194" s="215" t="s">
        <v>298</v>
      </c>
      <c r="G194" s="215" t="s">
        <v>3185</v>
      </c>
      <c r="H194" s="36" t="s">
        <v>3692</v>
      </c>
      <c r="I194" s="19" t="s">
        <v>3220</v>
      </c>
      <c r="J194" s="36" t="s">
        <v>587</v>
      </c>
      <c r="K194" s="215"/>
      <c r="L194" s="215"/>
      <c r="M194" s="36" t="s">
        <v>587</v>
      </c>
      <c r="N194" s="19" t="s">
        <v>3318</v>
      </c>
      <c r="O194" s="6" t="s">
        <v>587</v>
      </c>
      <c r="P194" s="215" t="s">
        <v>3188</v>
      </c>
      <c r="Q194" s="41" t="n">
        <f aca="false">Arch!D15</f>
        <v>129280</v>
      </c>
      <c r="R194" s="185" t="n">
        <f aca="false">SRC_MOD_014</f>
        <v>129280</v>
      </c>
      <c r="S194" s="35" t="str">
        <f aca="false">IF(ISNUMBER($AF194),INDEX(IDX_SrcStat,$AF194),"—")</f>
        <v>Active</v>
      </c>
      <c r="T194" s="35" t="n">
        <f aca="false">IF(ISNUMBER($AF194),INDEX(IDX_SrcGrade,$AF194),"—")</f>
        <v>1</v>
      </c>
      <c r="U194" s="35" t="s">
        <v>3222</v>
      </c>
      <c r="V194" s="186" t="n">
        <f aca="false">IF(AND($F194="原始數據",$U194&lt;&gt;"連結 SRC"),1,0)</f>
        <v>0</v>
      </c>
      <c r="W194" s="186" t="n">
        <f aca="false">IF(AND($F194="Analogy",OR($H194="—",$H194="")),1,0)</f>
        <v>0</v>
      </c>
      <c r="X194" s="186" t="n">
        <f aca="false">IF(AND(OR($F194="Analogy",$F194="Assumed"),$G194&lt;&gt;"低",$G194&lt;&gt;"高",NOT(ISNUMBER($K194)),NOT(ISNUMBER($L194)),OR($M194="—",$M194="")),1,0)</f>
        <v>0</v>
      </c>
      <c r="Y194" s="186" t="n">
        <f aca="false">IF(AND(OR($F194="Analogy",$F194="Assumed",$F194="Derived（待改公式）",$F194="Derived（公式）"),OR($N194="—",$N194="",$N194=0)),1,0)</f>
        <v>0</v>
      </c>
      <c r="Z194" s="186" t="n">
        <f aca="false">IF(AND($F194="Decision",OR($J194="—",$J194="")),1,0)</f>
        <v>0</v>
      </c>
      <c r="AA194" s="183" t="n">
        <f aca="false">IF(OR($J194="—",$J194=""),0,IF(COUNTIF(Decisions!$A$5:$A$300,$J194)=0,1,0))</f>
        <v>0</v>
      </c>
      <c r="AB194" s="186" t="n">
        <f aca="false">IF(AND($F194="原始數據",$S194&lt;&gt;"Active"),1,0)</f>
        <v>0</v>
      </c>
      <c r="AC194" s="186" t="n">
        <f aca="false">IF(AND(ISNUMBER($K194),ISNUMBER($L194),ISNUMBER($Q194)),IF(OR($Q194&lt;MIN($K194,$L194),$Q194&gt;MAX($K194,$L194)),1,0),0)</f>
        <v>0</v>
      </c>
      <c r="AD194" s="186" t="n">
        <f aca="false">IF(AND(ISNUMBER($T194),$P194="高"),IF($T194=3,1,0),0)</f>
        <v>0</v>
      </c>
      <c r="AE194" s="186" t="n">
        <f aca="false">IF($S194="不存在",1,0)</f>
        <v>0</v>
      </c>
      <c r="AF194" s="35" t="n">
        <f aca="false">IF(OR($H194="—",$H194=""),"—",MATCH($H194,IDX_SrcID,0))</f>
        <v>191</v>
      </c>
      <c r="AG194" s="104" t="n">
        <f aca="false">IF(AND($P194="高",OR($AD194=1,$X194=1)),1,0)</f>
        <v>0</v>
      </c>
      <c r="AH194" s="104" t="n">
        <f aca="false">IF(AND($P194="高",$AG194=0,OR($F194&lt;&gt;"原始數據",$T194&lt;&gt;1)),1,0)</f>
        <v>0</v>
      </c>
      <c r="AI194" s="53" t="str">
        <f aca="false">IF(AND($P194="高",ISNUMBER($AF194)),INDEX(IDX_SrcDate,$AF194),"—")</f>
        <v>—</v>
      </c>
      <c r="AJ194" s="104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6" t="s">
        <v>3695</v>
      </c>
      <c r="B195" s="215" t="s">
        <v>3183</v>
      </c>
      <c r="C195" s="36" t="s">
        <v>3661</v>
      </c>
      <c r="D195" s="36" t="s">
        <v>3696</v>
      </c>
      <c r="E195" s="19" t="s">
        <v>254</v>
      </c>
      <c r="F195" s="215" t="s">
        <v>298</v>
      </c>
      <c r="G195" s="215" t="s">
        <v>3185</v>
      </c>
      <c r="H195" s="36" t="s">
        <v>3697</v>
      </c>
      <c r="I195" s="19" t="s">
        <v>3220</v>
      </c>
      <c r="J195" s="36" t="s">
        <v>587</v>
      </c>
      <c r="K195" s="215"/>
      <c r="L195" s="215"/>
      <c r="M195" s="36" t="s">
        <v>587</v>
      </c>
      <c r="N195" s="19" t="s">
        <v>3318</v>
      </c>
      <c r="O195" s="6" t="s">
        <v>587</v>
      </c>
      <c r="P195" s="215" t="s">
        <v>3244</v>
      </c>
      <c r="Q195" s="177" t="n">
        <f aca="false">Arch!C16</f>
        <v>0.512</v>
      </c>
      <c r="R195" s="185" t="n">
        <f aca="false">SRC_MOD_015</f>
        <v>0.512</v>
      </c>
      <c r="S195" s="35" t="str">
        <f aca="false">IF(ISNUMBER($AF195),INDEX(IDX_SrcStat,$AF195),"—")</f>
        <v>Active</v>
      </c>
      <c r="T195" s="35" t="n">
        <f aca="false">IF(ISNUMBER($AF195),INDEX(IDX_SrcGrade,$AF195),"—")</f>
        <v>1</v>
      </c>
      <c r="U195" s="35" t="s">
        <v>3222</v>
      </c>
      <c r="V195" s="186" t="n">
        <f aca="false">IF(AND($F195="原始數據",$U195&lt;&gt;"連結 SRC"),1,0)</f>
        <v>0</v>
      </c>
      <c r="W195" s="186" t="n">
        <f aca="false">IF(AND($F195="Analogy",OR($H195="—",$H195="")),1,0)</f>
        <v>0</v>
      </c>
      <c r="X195" s="186" t="n">
        <f aca="false">IF(AND(OR($F195="Analogy",$F195="Assumed"),$G195&lt;&gt;"低",$G195&lt;&gt;"高",NOT(ISNUMBER($K195)),NOT(ISNUMBER($L195)),OR($M195="—",$M195="")),1,0)</f>
        <v>0</v>
      </c>
      <c r="Y195" s="186" t="n">
        <f aca="false">IF(AND(OR($F195="Analogy",$F195="Assumed",$F195="Derived（待改公式）",$F195="Derived（公式）"),OR($N195="—",$N195="",$N195=0)),1,0)</f>
        <v>0</v>
      </c>
      <c r="Z195" s="186" t="n">
        <f aca="false">IF(AND($F195="Decision",OR($J195="—",$J195="")),1,0)</f>
        <v>0</v>
      </c>
      <c r="AA195" s="183" t="n">
        <f aca="false">IF(OR($J195="—",$J195=""),0,IF(COUNTIF(Decisions!$A$5:$A$300,$J195)=0,1,0))</f>
        <v>0</v>
      </c>
      <c r="AB195" s="186" t="n">
        <f aca="false">IF(AND($F195="原始數據",$S195&lt;&gt;"Active"),1,0)</f>
        <v>0</v>
      </c>
      <c r="AC195" s="186" t="n">
        <f aca="false">IF(AND(ISNUMBER($K195),ISNUMBER($L195),ISNUMBER($Q195)),IF(OR($Q195&lt;MIN($K195,$L195),$Q195&gt;MAX($K195,$L195)),1,0),0)</f>
        <v>0</v>
      </c>
      <c r="AD195" s="186" t="n">
        <f aca="false">IF(AND(ISNUMBER($T195),$P195="高"),IF($T195=3,1,0),0)</f>
        <v>0</v>
      </c>
      <c r="AE195" s="186" t="n">
        <f aca="false">IF($S195="不存在",1,0)</f>
        <v>0</v>
      </c>
      <c r="AF195" s="35" t="n">
        <f aca="false">IF(OR($H195="—",$H195=""),"—",MATCH($H195,IDX_SrcID,0))</f>
        <v>192</v>
      </c>
      <c r="AG195" s="104" t="n">
        <f aca="false">IF(AND($P195="高",OR($AD195=1,$X195=1)),1,0)</f>
        <v>0</v>
      </c>
      <c r="AH195" s="104" t="n">
        <f aca="false">IF(AND($P195="高",$AG195=0,OR($F195&lt;&gt;"原始數據",$T195&lt;&gt;1)),1,0)</f>
        <v>0</v>
      </c>
      <c r="AI195" s="53" t="str">
        <f aca="false">IF(AND($P195="高",ISNUMBER($AF195)),INDEX(IDX_SrcDate,$AF195),"—")</f>
        <v>—</v>
      </c>
      <c r="AJ195" s="104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6" t="s">
        <v>3698</v>
      </c>
      <c r="B196" s="215" t="s">
        <v>3183</v>
      </c>
      <c r="C196" s="36" t="s">
        <v>3661</v>
      </c>
      <c r="D196" s="36" t="s">
        <v>3232</v>
      </c>
      <c r="E196" s="19" t="s">
        <v>254</v>
      </c>
      <c r="F196" s="215" t="s">
        <v>298</v>
      </c>
      <c r="G196" s="215" t="s">
        <v>3185</v>
      </c>
      <c r="H196" s="36" t="s">
        <v>3697</v>
      </c>
      <c r="I196" s="19" t="s">
        <v>3220</v>
      </c>
      <c r="J196" s="36" t="s">
        <v>587</v>
      </c>
      <c r="K196" s="215"/>
      <c r="L196" s="215"/>
      <c r="M196" s="36" t="s">
        <v>587</v>
      </c>
      <c r="N196" s="19" t="s">
        <v>3318</v>
      </c>
      <c r="O196" s="6" t="s">
        <v>587</v>
      </c>
      <c r="P196" s="215" t="s">
        <v>3244</v>
      </c>
      <c r="Q196" s="177" t="n">
        <f aca="false">Arch!D16</f>
        <v>0.492</v>
      </c>
      <c r="R196" s="185" t="n">
        <f aca="false">SRC_MOD_015</f>
        <v>0.512</v>
      </c>
      <c r="S196" s="35" t="str">
        <f aca="false">IF(ISNUMBER($AF196),INDEX(IDX_SrcStat,$AF196),"—")</f>
        <v>Active</v>
      </c>
      <c r="T196" s="35" t="n">
        <f aca="false">IF(ISNUMBER($AF196),INDEX(IDX_SrcGrade,$AF196),"—")</f>
        <v>1</v>
      </c>
      <c r="U196" s="35" t="s">
        <v>3222</v>
      </c>
      <c r="V196" s="186" t="n">
        <f aca="false">IF(AND($F196="原始數據",$U196&lt;&gt;"連結 SRC"),1,0)</f>
        <v>0</v>
      </c>
      <c r="W196" s="186" t="n">
        <f aca="false">IF(AND($F196="Analogy",OR($H196="—",$H196="")),1,0)</f>
        <v>0</v>
      </c>
      <c r="X196" s="186" t="n">
        <f aca="false">IF(AND(OR($F196="Analogy",$F196="Assumed"),$G196&lt;&gt;"低",$G196&lt;&gt;"高",NOT(ISNUMBER($K196)),NOT(ISNUMBER($L196)),OR($M196="—",$M196="")),1,0)</f>
        <v>0</v>
      </c>
      <c r="Y196" s="186" t="n">
        <f aca="false">IF(AND(OR($F196="Analogy",$F196="Assumed",$F196="Derived（待改公式）",$F196="Derived（公式）"),OR($N196="—",$N196="",$N196=0)),1,0)</f>
        <v>0</v>
      </c>
      <c r="Z196" s="186" t="n">
        <f aca="false">IF(AND($F196="Decision",OR($J196="—",$J196="")),1,0)</f>
        <v>0</v>
      </c>
      <c r="AA196" s="183" t="n">
        <f aca="false">IF(OR($J196="—",$J196=""),0,IF(COUNTIF(Decisions!$A$5:$A$300,$J196)=0,1,0))</f>
        <v>0</v>
      </c>
      <c r="AB196" s="186" t="n">
        <f aca="false">IF(AND($F196="原始數據",$S196&lt;&gt;"Active"),1,0)</f>
        <v>0</v>
      </c>
      <c r="AC196" s="186" t="n">
        <f aca="false">IF(AND(ISNUMBER($K196),ISNUMBER($L196),ISNUMBER($Q196)),IF(OR($Q196&lt;MIN($K196,$L196),$Q196&gt;MAX($K196,$L196)),1,0),0)</f>
        <v>0</v>
      </c>
      <c r="AD196" s="186" t="n">
        <f aca="false">IF(AND(ISNUMBER($T196),$P196="高"),IF($T196=3,1,0),0)</f>
        <v>0</v>
      </c>
      <c r="AE196" s="186" t="n">
        <f aca="false">IF($S196="不存在",1,0)</f>
        <v>0</v>
      </c>
      <c r="AF196" s="35" t="n">
        <f aca="false">IF(OR($H196="—",$H196=""),"—",MATCH($H196,IDX_SrcID,0))</f>
        <v>192</v>
      </c>
      <c r="AG196" s="104" t="n">
        <f aca="false">IF(AND($P196="高",OR($AD196=1,$X196=1)),1,0)</f>
        <v>0</v>
      </c>
      <c r="AH196" s="104" t="n">
        <f aca="false">IF(AND($P196="高",$AG196=0,OR($F196&lt;&gt;"原始數據",$T196&lt;&gt;1)),1,0)</f>
        <v>0</v>
      </c>
      <c r="AI196" s="53" t="str">
        <f aca="false">IF(AND($P196="高",ISNUMBER($AF196)),INDEX(IDX_SrcDate,$AF196),"—")</f>
        <v>—</v>
      </c>
      <c r="AJ196" s="104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6" t="s">
        <v>3699</v>
      </c>
      <c r="B197" s="215" t="s">
        <v>3183</v>
      </c>
      <c r="C197" s="36" t="s">
        <v>3661</v>
      </c>
      <c r="D197" s="36" t="s">
        <v>3700</v>
      </c>
      <c r="E197" s="19" t="s">
        <v>260</v>
      </c>
      <c r="F197" s="215" t="s">
        <v>298</v>
      </c>
      <c r="G197" s="215" t="s">
        <v>3185</v>
      </c>
      <c r="H197" s="36" t="s">
        <v>3701</v>
      </c>
      <c r="I197" s="19" t="s">
        <v>3220</v>
      </c>
      <c r="J197" s="36" t="s">
        <v>587</v>
      </c>
      <c r="K197" s="215"/>
      <c r="L197" s="215"/>
      <c r="M197" s="36" t="s">
        <v>587</v>
      </c>
      <c r="N197" s="19" t="s">
        <v>3318</v>
      </c>
      <c r="O197" s="6" t="s">
        <v>587</v>
      </c>
      <c r="P197" s="215" t="s">
        <v>1115</v>
      </c>
      <c r="Q197" s="41" t="n">
        <f aca="false">Arch!C18</f>
        <v>128</v>
      </c>
      <c r="R197" s="185" t="n">
        <f aca="false">SRC_MOD_016</f>
        <v>128</v>
      </c>
      <c r="S197" s="35" t="str">
        <f aca="false">IF(ISNUMBER($AF197),INDEX(IDX_SrcStat,$AF197),"—")</f>
        <v>Active</v>
      </c>
      <c r="T197" s="35" t="n">
        <f aca="false">IF(ISNUMBER($AF197),INDEX(IDX_SrcGrade,$AF197),"—")</f>
        <v>1</v>
      </c>
      <c r="U197" s="35" t="s">
        <v>3222</v>
      </c>
      <c r="V197" s="186" t="n">
        <f aca="false">IF(AND($F197="原始數據",$U197&lt;&gt;"連結 SRC"),1,0)</f>
        <v>0</v>
      </c>
      <c r="W197" s="186" t="n">
        <f aca="false">IF(AND($F197="Analogy",OR($H197="—",$H197="")),1,0)</f>
        <v>0</v>
      </c>
      <c r="X197" s="186" t="n">
        <f aca="false">IF(AND(OR($F197="Analogy",$F197="Assumed"),$G197&lt;&gt;"低",$G197&lt;&gt;"高",NOT(ISNUMBER($K197)),NOT(ISNUMBER($L197)),OR($M197="—",$M197="")),1,0)</f>
        <v>0</v>
      </c>
      <c r="Y197" s="186" t="n">
        <f aca="false">IF(AND(OR($F197="Analogy",$F197="Assumed",$F197="Derived（待改公式）",$F197="Derived（公式）"),OR($N197="—",$N197="",$N197=0)),1,0)</f>
        <v>0</v>
      </c>
      <c r="Z197" s="186" t="n">
        <f aca="false">IF(AND($F197="Decision",OR($J197="—",$J197="")),1,0)</f>
        <v>0</v>
      </c>
      <c r="AA197" s="183" t="n">
        <f aca="false">IF(OR($J197="—",$J197=""),0,IF(COUNTIF(Decisions!$A$5:$A$300,$J197)=0,1,0))</f>
        <v>0</v>
      </c>
      <c r="AB197" s="186" t="n">
        <f aca="false">IF(AND($F197="原始數據",$S197&lt;&gt;"Active"),1,0)</f>
        <v>0</v>
      </c>
      <c r="AC197" s="186" t="n">
        <f aca="false">IF(AND(ISNUMBER($K197),ISNUMBER($L197),ISNUMBER($Q197)),IF(OR($Q197&lt;MIN($K197,$L197),$Q197&gt;MAX($K197,$L197)),1,0),0)</f>
        <v>0</v>
      </c>
      <c r="AD197" s="186" t="n">
        <f aca="false">IF(AND(ISNUMBER($T197),$P197="高"),IF($T197=3,1,0),0)</f>
        <v>0</v>
      </c>
      <c r="AE197" s="186" t="n">
        <f aca="false">IF($S197="不存在",1,0)</f>
        <v>0</v>
      </c>
      <c r="AF197" s="35" t="n">
        <f aca="false">IF(OR($H197="—",$H197=""),"—",MATCH($H197,IDX_SrcID,0))</f>
        <v>193</v>
      </c>
      <c r="AG197" s="104" t="n">
        <f aca="false">IF(AND($P197="高",OR($AD197=1,$X197=1)),1,0)</f>
        <v>0</v>
      </c>
      <c r="AH197" s="104" t="n">
        <f aca="false">IF(AND($P197="高",$AG197=0,OR($F197&lt;&gt;"原始數據",$T197&lt;&gt;1)),1,0)</f>
        <v>0</v>
      </c>
      <c r="AI197" s="53" t="str">
        <f aca="false">IF(AND($P197="高",ISNUMBER($AF197)),INDEX(IDX_SrcDate,$AF197),"—")</f>
        <v>—</v>
      </c>
      <c r="AJ197" s="104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6" t="s">
        <v>3702</v>
      </c>
      <c r="B198" s="215" t="s">
        <v>3183</v>
      </c>
      <c r="C198" s="36" t="s">
        <v>3661</v>
      </c>
      <c r="D198" s="36" t="s">
        <v>3246</v>
      </c>
      <c r="E198" s="19" t="s">
        <v>260</v>
      </c>
      <c r="F198" s="215" t="s">
        <v>298</v>
      </c>
      <c r="G198" s="215" t="s">
        <v>3185</v>
      </c>
      <c r="H198" s="36" t="s">
        <v>3701</v>
      </c>
      <c r="I198" s="19" t="s">
        <v>3220</v>
      </c>
      <c r="J198" s="36" t="s">
        <v>587</v>
      </c>
      <c r="K198" s="215"/>
      <c r="L198" s="215"/>
      <c r="M198" s="36" t="s">
        <v>587</v>
      </c>
      <c r="N198" s="19" t="s">
        <v>3318</v>
      </c>
      <c r="O198" s="6" t="s">
        <v>587</v>
      </c>
      <c r="P198" s="215" t="s">
        <v>1115</v>
      </c>
      <c r="Q198" s="41" t="n">
        <f aca="false">Arch!D18</f>
        <v>128</v>
      </c>
      <c r="R198" s="185" t="n">
        <f aca="false">SRC_MOD_016</f>
        <v>128</v>
      </c>
      <c r="S198" s="35" t="str">
        <f aca="false">IF(ISNUMBER($AF198),INDEX(IDX_SrcStat,$AF198),"—")</f>
        <v>Active</v>
      </c>
      <c r="T198" s="35" t="n">
        <f aca="false">IF(ISNUMBER($AF198),INDEX(IDX_SrcGrade,$AF198),"—")</f>
        <v>1</v>
      </c>
      <c r="U198" s="35" t="s">
        <v>3222</v>
      </c>
      <c r="V198" s="186" t="n">
        <f aca="false">IF(AND($F198="原始數據",$U198&lt;&gt;"連結 SRC"),1,0)</f>
        <v>0</v>
      </c>
      <c r="W198" s="186" t="n">
        <f aca="false">IF(AND($F198="Analogy",OR($H198="—",$H198="")),1,0)</f>
        <v>0</v>
      </c>
      <c r="X198" s="186" t="n">
        <f aca="false">IF(AND(OR($F198="Analogy",$F198="Assumed"),$G198&lt;&gt;"低",$G198&lt;&gt;"高",NOT(ISNUMBER($K198)),NOT(ISNUMBER($L198)),OR($M198="—",$M198="")),1,0)</f>
        <v>0</v>
      </c>
      <c r="Y198" s="186" t="n">
        <f aca="false">IF(AND(OR($F198="Analogy",$F198="Assumed",$F198="Derived（待改公式）",$F198="Derived（公式）"),OR($N198="—",$N198="",$N198=0)),1,0)</f>
        <v>0</v>
      </c>
      <c r="Z198" s="186" t="n">
        <f aca="false">IF(AND($F198="Decision",OR($J198="—",$J198="")),1,0)</f>
        <v>0</v>
      </c>
      <c r="AA198" s="183" t="n">
        <f aca="false">IF(OR($J198="—",$J198=""),0,IF(COUNTIF(Decisions!$A$5:$A$300,$J198)=0,1,0))</f>
        <v>0</v>
      </c>
      <c r="AB198" s="186" t="n">
        <f aca="false">IF(AND($F198="原始數據",$S198&lt;&gt;"Active"),1,0)</f>
        <v>0</v>
      </c>
      <c r="AC198" s="186" t="n">
        <f aca="false">IF(AND(ISNUMBER($K198),ISNUMBER($L198),ISNUMBER($Q198)),IF(OR($Q198&lt;MIN($K198,$L198),$Q198&gt;MAX($K198,$L198)),1,0),0)</f>
        <v>0</v>
      </c>
      <c r="AD198" s="186" t="n">
        <f aca="false">IF(AND(ISNUMBER($T198),$P198="高"),IF($T198=3,1,0),0)</f>
        <v>0</v>
      </c>
      <c r="AE198" s="186" t="n">
        <f aca="false">IF($S198="不存在",1,0)</f>
        <v>0</v>
      </c>
      <c r="AF198" s="35" t="n">
        <f aca="false">IF(OR($H198="—",$H198=""),"—",MATCH($H198,IDX_SrcID,0))</f>
        <v>193</v>
      </c>
      <c r="AG198" s="104" t="n">
        <f aca="false">IF(AND($P198="高",OR($AD198=1,$X198=1)),1,0)</f>
        <v>0</v>
      </c>
      <c r="AH198" s="104" t="n">
        <f aca="false">IF(AND($P198="高",$AG198=0,OR($F198&lt;&gt;"原始數據",$T198&lt;&gt;1)),1,0)</f>
        <v>0</v>
      </c>
      <c r="AI198" s="53" t="str">
        <f aca="false">IF(AND($P198="高",ISNUMBER($AF198)),INDEX(IDX_SrcDate,$AF198),"—")</f>
        <v>—</v>
      </c>
      <c r="AJ198" s="104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6" t="s">
        <v>3703</v>
      </c>
      <c r="B199" s="215" t="s">
        <v>3183</v>
      </c>
      <c r="C199" s="36" t="s">
        <v>3661</v>
      </c>
      <c r="D199" s="36" t="s">
        <v>3704</v>
      </c>
      <c r="E199" s="19" t="s">
        <v>262</v>
      </c>
      <c r="F199" s="215" t="s">
        <v>298</v>
      </c>
      <c r="G199" s="215" t="s">
        <v>3185</v>
      </c>
      <c r="H199" s="36" t="s">
        <v>3705</v>
      </c>
      <c r="I199" s="19" t="s">
        <v>3220</v>
      </c>
      <c r="J199" s="36" t="s">
        <v>587</v>
      </c>
      <c r="K199" s="215"/>
      <c r="L199" s="215"/>
      <c r="M199" s="36" t="s">
        <v>587</v>
      </c>
      <c r="N199" s="19" t="s">
        <v>3318</v>
      </c>
      <c r="O199" s="6" t="s">
        <v>587</v>
      </c>
      <c r="P199" s="215" t="s">
        <v>1115</v>
      </c>
      <c r="Q199" s="41" t="n">
        <f aca="false">Arch!C19</f>
        <v>128</v>
      </c>
      <c r="R199" s="185" t="n">
        <f aca="false">SRC_MOD_017</f>
        <v>128</v>
      </c>
      <c r="S199" s="35" t="str">
        <f aca="false">IF(ISNUMBER($AF199),INDEX(IDX_SrcStat,$AF199),"—")</f>
        <v>Active</v>
      </c>
      <c r="T199" s="35" t="n">
        <f aca="false">IF(ISNUMBER($AF199),INDEX(IDX_SrcGrade,$AF199),"—")</f>
        <v>1</v>
      </c>
      <c r="U199" s="35" t="s">
        <v>3222</v>
      </c>
      <c r="V199" s="186" t="n">
        <f aca="false">IF(AND($F199="原始數據",$U199&lt;&gt;"連結 SRC"),1,0)</f>
        <v>0</v>
      </c>
      <c r="W199" s="186" t="n">
        <f aca="false">IF(AND($F199="Analogy",OR($H199="—",$H199="")),1,0)</f>
        <v>0</v>
      </c>
      <c r="X199" s="186" t="n">
        <f aca="false">IF(AND(OR($F199="Analogy",$F199="Assumed"),$G199&lt;&gt;"低",$G199&lt;&gt;"高",NOT(ISNUMBER($K199)),NOT(ISNUMBER($L199)),OR($M199="—",$M199="")),1,0)</f>
        <v>0</v>
      </c>
      <c r="Y199" s="186" t="n">
        <f aca="false">IF(AND(OR($F199="Analogy",$F199="Assumed",$F199="Derived（待改公式）",$F199="Derived（公式）"),OR($N199="—",$N199="",$N199=0)),1,0)</f>
        <v>0</v>
      </c>
      <c r="Z199" s="186" t="n">
        <f aca="false">IF(AND($F199="Decision",OR($J199="—",$J199="")),1,0)</f>
        <v>0</v>
      </c>
      <c r="AA199" s="183" t="n">
        <f aca="false">IF(OR($J199="—",$J199=""),0,IF(COUNTIF(Decisions!$A$5:$A$300,$J199)=0,1,0))</f>
        <v>0</v>
      </c>
      <c r="AB199" s="186" t="n">
        <f aca="false">IF(AND($F199="原始數據",$S199&lt;&gt;"Active"),1,0)</f>
        <v>0</v>
      </c>
      <c r="AC199" s="186" t="n">
        <f aca="false">IF(AND(ISNUMBER($K199),ISNUMBER($L199),ISNUMBER($Q199)),IF(OR($Q199&lt;MIN($K199,$L199),$Q199&gt;MAX($K199,$L199)),1,0),0)</f>
        <v>0</v>
      </c>
      <c r="AD199" s="186" t="n">
        <f aca="false">IF(AND(ISNUMBER($T199),$P199="高"),IF($T199=3,1,0),0)</f>
        <v>0</v>
      </c>
      <c r="AE199" s="186" t="n">
        <f aca="false">IF($S199="不存在",1,0)</f>
        <v>0</v>
      </c>
      <c r="AF199" s="35" t="n">
        <f aca="false">IF(OR($H199="—",$H199=""),"—",MATCH($H199,IDX_SrcID,0))</f>
        <v>194</v>
      </c>
      <c r="AG199" s="104" t="n">
        <f aca="false">IF(AND($P199="高",OR($AD199=1,$X199=1)),1,0)</f>
        <v>0</v>
      </c>
      <c r="AH199" s="104" t="n">
        <f aca="false">IF(AND($P199="高",$AG199=0,OR($F199&lt;&gt;"原始數據",$T199&lt;&gt;1)),1,0)</f>
        <v>0</v>
      </c>
      <c r="AI199" s="53" t="str">
        <f aca="false">IF(AND($P199="高",ISNUMBER($AF199)),INDEX(IDX_SrcDate,$AF199),"—")</f>
        <v>—</v>
      </c>
      <c r="AJ199" s="104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6" t="s">
        <v>3706</v>
      </c>
      <c r="B200" s="215" t="s">
        <v>3183</v>
      </c>
      <c r="C200" s="36" t="s">
        <v>3661</v>
      </c>
      <c r="D200" s="36" t="s">
        <v>3252</v>
      </c>
      <c r="E200" s="19" t="s">
        <v>262</v>
      </c>
      <c r="F200" s="215" t="s">
        <v>298</v>
      </c>
      <c r="G200" s="215" t="s">
        <v>3185</v>
      </c>
      <c r="H200" s="36" t="s">
        <v>3705</v>
      </c>
      <c r="I200" s="19" t="s">
        <v>3220</v>
      </c>
      <c r="J200" s="36" t="s">
        <v>587</v>
      </c>
      <c r="K200" s="215"/>
      <c r="L200" s="215"/>
      <c r="M200" s="36" t="s">
        <v>587</v>
      </c>
      <c r="N200" s="19" t="s">
        <v>3318</v>
      </c>
      <c r="O200" s="6" t="s">
        <v>587</v>
      </c>
      <c r="P200" s="215" t="s">
        <v>1115</v>
      </c>
      <c r="Q200" s="41" t="n">
        <f aca="false">Arch!D19</f>
        <v>128</v>
      </c>
      <c r="R200" s="185" t="n">
        <f aca="false">SRC_MOD_017</f>
        <v>128</v>
      </c>
      <c r="S200" s="35" t="str">
        <f aca="false">IF(ISNUMBER($AF200),INDEX(IDX_SrcStat,$AF200),"—")</f>
        <v>Active</v>
      </c>
      <c r="T200" s="35" t="n">
        <f aca="false">IF(ISNUMBER($AF200),INDEX(IDX_SrcGrade,$AF200),"—")</f>
        <v>1</v>
      </c>
      <c r="U200" s="35" t="s">
        <v>3222</v>
      </c>
      <c r="V200" s="186" t="n">
        <f aca="false">IF(AND($F200="原始數據",$U200&lt;&gt;"連結 SRC"),1,0)</f>
        <v>0</v>
      </c>
      <c r="W200" s="186" t="n">
        <f aca="false">IF(AND($F200="Analogy",OR($H200="—",$H200="")),1,0)</f>
        <v>0</v>
      </c>
      <c r="X200" s="186" t="n">
        <f aca="false">IF(AND(OR($F200="Analogy",$F200="Assumed"),$G200&lt;&gt;"低",$G200&lt;&gt;"高",NOT(ISNUMBER($K200)),NOT(ISNUMBER($L200)),OR($M200="—",$M200="")),1,0)</f>
        <v>0</v>
      </c>
      <c r="Y200" s="186" t="n">
        <f aca="false">IF(AND(OR($F200="Analogy",$F200="Assumed",$F200="Derived（待改公式）",$F200="Derived（公式）"),OR($N200="—",$N200="",$N200=0)),1,0)</f>
        <v>0</v>
      </c>
      <c r="Z200" s="186" t="n">
        <f aca="false">IF(AND($F200="Decision",OR($J200="—",$J200="")),1,0)</f>
        <v>0</v>
      </c>
      <c r="AA200" s="183" t="n">
        <f aca="false">IF(OR($J200="—",$J200=""),0,IF(COUNTIF(Decisions!$A$5:$A$300,$J200)=0,1,0))</f>
        <v>0</v>
      </c>
      <c r="AB200" s="186" t="n">
        <f aca="false">IF(AND($F200="原始數據",$S200&lt;&gt;"Active"),1,0)</f>
        <v>0</v>
      </c>
      <c r="AC200" s="186" t="n">
        <f aca="false">IF(AND(ISNUMBER($K200),ISNUMBER($L200),ISNUMBER($Q200)),IF(OR($Q200&lt;MIN($K200,$L200),$Q200&gt;MAX($K200,$L200)),1,0),0)</f>
        <v>0</v>
      </c>
      <c r="AD200" s="186" t="n">
        <f aca="false">IF(AND(ISNUMBER($T200),$P200="高"),IF($T200=3,1,0),0)</f>
        <v>0</v>
      </c>
      <c r="AE200" s="186" t="n">
        <f aca="false">IF($S200="不存在",1,0)</f>
        <v>0</v>
      </c>
      <c r="AF200" s="35" t="n">
        <f aca="false">IF(OR($H200="—",$H200=""),"—",MATCH($H200,IDX_SrcID,0))</f>
        <v>194</v>
      </c>
      <c r="AG200" s="104" t="n">
        <f aca="false">IF(AND($P200="高",OR($AD200=1,$X200=1)),1,0)</f>
        <v>0</v>
      </c>
      <c r="AH200" s="104" t="n">
        <f aca="false">IF(AND($P200="高",$AG200=0,OR($F200&lt;&gt;"原始數據",$T200&lt;&gt;1)),1,0)</f>
        <v>0</v>
      </c>
      <c r="AI200" s="53" t="str">
        <f aca="false">IF(AND($P200="高",ISNUMBER($AF200)),INDEX(IDX_SrcDate,$AF200),"—")</f>
        <v>—</v>
      </c>
      <c r="AJ200" s="104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6" t="s">
        <v>3707</v>
      </c>
      <c r="B201" s="215" t="s">
        <v>3183</v>
      </c>
      <c r="C201" s="36" t="s">
        <v>3661</v>
      </c>
      <c r="D201" s="36" t="s">
        <v>3198</v>
      </c>
      <c r="E201" s="6" t="s">
        <v>244</v>
      </c>
      <c r="F201" s="215" t="s">
        <v>298</v>
      </c>
      <c r="G201" s="215" t="s">
        <v>3185</v>
      </c>
      <c r="H201" s="36" t="s">
        <v>3708</v>
      </c>
      <c r="I201" s="19" t="s">
        <v>3220</v>
      </c>
      <c r="J201" s="36" t="s">
        <v>587</v>
      </c>
      <c r="K201" s="215"/>
      <c r="L201" s="215"/>
      <c r="M201" s="36" t="s">
        <v>587</v>
      </c>
      <c r="N201" s="19" t="s">
        <v>3318</v>
      </c>
      <c r="O201" s="6" t="s">
        <v>587</v>
      </c>
      <c r="P201" s="215" t="s">
        <v>3188</v>
      </c>
      <c r="Q201" s="41" t="n">
        <f aca="false">Arch!D9</f>
        <v>7168</v>
      </c>
      <c r="R201" s="185" t="n">
        <f aca="false">SRC_MOD_004</f>
        <v>7168</v>
      </c>
      <c r="S201" s="35" t="str">
        <f aca="false">IF(ISNUMBER($AF201),INDEX(IDX_SrcStat,$AF201),"—")</f>
        <v>Active</v>
      </c>
      <c r="T201" s="35" t="n">
        <f aca="false">IF(ISNUMBER($AF201),INDEX(IDX_SrcGrade,$AF201),"—")</f>
        <v>3</v>
      </c>
      <c r="U201" s="35" t="s">
        <v>3222</v>
      </c>
      <c r="V201" s="186" t="n">
        <f aca="false">IF(AND($F201="原始數據",$U201&lt;&gt;"連結 SRC"),1,0)</f>
        <v>0</v>
      </c>
      <c r="W201" s="186" t="n">
        <f aca="false">IF(AND($F201="Analogy",OR($H201="—",$H201="")),1,0)</f>
        <v>0</v>
      </c>
      <c r="X201" s="186" t="n">
        <f aca="false">IF(AND(OR($F201="Analogy",$F201="Assumed"),$G201&lt;&gt;"低",$G201&lt;&gt;"高",NOT(ISNUMBER($K201)),NOT(ISNUMBER($L201)),OR($M201="—",$M201="")),1,0)</f>
        <v>0</v>
      </c>
      <c r="Y201" s="186" t="n">
        <f aca="false">IF(AND(OR($F201="Analogy",$F201="Assumed",$F201="Derived（待改公式）",$F201="Derived（公式）"),OR($N201="—",$N201="",$N201=0)),1,0)</f>
        <v>0</v>
      </c>
      <c r="Z201" s="186" t="n">
        <f aca="false">IF(AND($F201="Decision",OR($J201="—",$J201="")),1,0)</f>
        <v>0</v>
      </c>
      <c r="AA201" s="183" t="n">
        <f aca="false">IF(OR($J201="—",$J201=""),0,IF(COUNTIF(Decisions!$A$5:$A$300,$J201)=0,1,0))</f>
        <v>0</v>
      </c>
      <c r="AB201" s="186" t="n">
        <f aca="false">IF(AND($F201="原始數據",$S201&lt;&gt;"Active"),1,0)</f>
        <v>0</v>
      </c>
      <c r="AC201" s="186" t="n">
        <f aca="false">IF(AND(ISNUMBER($K201),ISNUMBER($L201),ISNUMBER($Q201)),IF(OR($Q201&lt;MIN($K201,$L201),$Q201&gt;MAX($K201,$L201)),1,0),0)</f>
        <v>0</v>
      </c>
      <c r="AD201" s="186" t="n">
        <f aca="false">IF(AND(ISNUMBER($T201),$P201="高"),IF($T201=3,1,0),0)</f>
        <v>0</v>
      </c>
      <c r="AE201" s="186" t="n">
        <f aca="false">IF($S201="不存在",1,0)</f>
        <v>0</v>
      </c>
      <c r="AF201" s="35" t="n">
        <f aca="false">IF(OR($H201="—",$H201=""),"—",MATCH($H201,IDX_SrcID,0))</f>
        <v>181</v>
      </c>
      <c r="AG201" s="104" t="n">
        <f aca="false">IF(AND($P201="高",OR($AD201=1,$X201=1)),1,0)</f>
        <v>0</v>
      </c>
      <c r="AH201" s="104" t="n">
        <f aca="false">IF(AND($P201="高",$AG201=0,OR($F201&lt;&gt;"原始數據",$T201&lt;&gt;1)),1,0)</f>
        <v>0</v>
      </c>
      <c r="AI201" s="53" t="str">
        <f aca="false">IF(AND($P201="高",ISNUMBER($AF201)),INDEX(IDX_SrcDate,$AF201),"—")</f>
        <v>—</v>
      </c>
      <c r="AJ201" s="104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6" t="s">
        <v>3709</v>
      </c>
      <c r="B202" s="215" t="s">
        <v>3183</v>
      </c>
      <c r="C202" s="36" t="s">
        <v>3661</v>
      </c>
      <c r="D202" s="36" t="s">
        <v>3203</v>
      </c>
      <c r="E202" s="6" t="s">
        <v>246</v>
      </c>
      <c r="F202" s="215" t="s">
        <v>298</v>
      </c>
      <c r="G202" s="215" t="s">
        <v>3185</v>
      </c>
      <c r="H202" s="36" t="s">
        <v>3710</v>
      </c>
      <c r="I202" s="19" t="s">
        <v>3220</v>
      </c>
      <c r="J202" s="36" t="s">
        <v>587</v>
      </c>
      <c r="K202" s="215"/>
      <c r="L202" s="215"/>
      <c r="M202" s="36" t="s">
        <v>587</v>
      </c>
      <c r="N202" s="19" t="s">
        <v>3318</v>
      </c>
      <c r="O202" s="6" t="s">
        <v>587</v>
      </c>
      <c r="P202" s="215" t="s">
        <v>3244</v>
      </c>
      <c r="Q202" s="41" t="n">
        <f aca="false">Arch!D10</f>
        <v>128</v>
      </c>
      <c r="R202" s="185" t="n">
        <f aca="false">SRC_MOD_008</f>
        <v>128</v>
      </c>
      <c r="S202" s="35" t="str">
        <f aca="false">IF(ISNUMBER($AF202),INDEX(IDX_SrcStat,$AF202),"—")</f>
        <v>Active</v>
      </c>
      <c r="T202" s="35" t="n">
        <f aca="false">IF(ISNUMBER($AF202),INDEX(IDX_SrcGrade,$AF202),"—")</f>
        <v>3</v>
      </c>
      <c r="U202" s="35" t="s">
        <v>3222</v>
      </c>
      <c r="V202" s="186" t="n">
        <f aca="false">IF(AND($F202="原始數據",$U202&lt;&gt;"連結 SRC"),1,0)</f>
        <v>0</v>
      </c>
      <c r="W202" s="186" t="n">
        <f aca="false">IF(AND($F202="Analogy",OR($H202="—",$H202="")),1,0)</f>
        <v>0</v>
      </c>
      <c r="X202" s="186" t="n">
        <f aca="false">IF(AND(OR($F202="Analogy",$F202="Assumed"),$G202&lt;&gt;"低",$G202&lt;&gt;"高",NOT(ISNUMBER($K202)),NOT(ISNUMBER($L202)),OR($M202="—",$M202="")),1,0)</f>
        <v>0</v>
      </c>
      <c r="Y202" s="186" t="n">
        <f aca="false">IF(AND(OR($F202="Analogy",$F202="Assumed",$F202="Derived（待改公式）",$F202="Derived（公式）"),OR($N202="—",$N202="",$N202=0)),1,0)</f>
        <v>0</v>
      </c>
      <c r="Z202" s="186" t="n">
        <f aca="false">IF(AND($F202="Decision",OR($J202="—",$J202="")),1,0)</f>
        <v>0</v>
      </c>
      <c r="AA202" s="183" t="n">
        <f aca="false">IF(OR($J202="—",$J202=""),0,IF(COUNTIF(Decisions!$A$5:$A$300,$J202)=0,1,0))</f>
        <v>0</v>
      </c>
      <c r="AB202" s="186" t="n">
        <f aca="false">IF(AND($F202="原始數據",$S202&lt;&gt;"Active"),1,0)</f>
        <v>0</v>
      </c>
      <c r="AC202" s="186" t="n">
        <f aca="false">IF(AND(ISNUMBER($K202),ISNUMBER($L202),ISNUMBER($Q202)),IF(OR($Q202&lt;MIN($K202,$L202),$Q202&gt;MAX($K202,$L202)),1,0),0)</f>
        <v>0</v>
      </c>
      <c r="AD202" s="186" t="n">
        <f aca="false">IF(AND(ISNUMBER($T202),$P202="高"),IF($T202=3,1,0),0)</f>
        <v>0</v>
      </c>
      <c r="AE202" s="186" t="n">
        <f aca="false">IF($S202="不存在",1,0)</f>
        <v>0</v>
      </c>
      <c r="AF202" s="35" t="n">
        <f aca="false">IF(OR($H202="—",$H202=""),"—",MATCH($H202,IDX_SrcID,0))</f>
        <v>185</v>
      </c>
      <c r="AG202" s="104" t="n">
        <f aca="false">IF(AND($P202="高",OR($AD202=1,$X202=1)),1,0)</f>
        <v>0</v>
      </c>
      <c r="AH202" s="104" t="n">
        <f aca="false">IF(AND($P202="高",$AG202=0,OR($F202&lt;&gt;"原始數據",$T202&lt;&gt;1)),1,0)</f>
        <v>0</v>
      </c>
      <c r="AI202" s="53" t="str">
        <f aca="false">IF(AND($P202="高",ISNUMBER($AF202)),INDEX(IDX_SrcDate,$AF202),"—")</f>
        <v>—</v>
      </c>
      <c r="AJ202" s="104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6" t="s">
        <v>3711</v>
      </c>
      <c r="B203" s="215" t="s">
        <v>3183</v>
      </c>
      <c r="C203" s="36" t="s">
        <v>3661</v>
      </c>
      <c r="D203" s="36" t="s">
        <v>3369</v>
      </c>
      <c r="E203" s="6" t="s">
        <v>244</v>
      </c>
      <c r="F203" s="215" t="s">
        <v>298</v>
      </c>
      <c r="G203" s="215" t="s">
        <v>3185</v>
      </c>
      <c r="H203" s="36" t="s">
        <v>3712</v>
      </c>
      <c r="I203" s="19" t="s">
        <v>3220</v>
      </c>
      <c r="J203" s="36" t="s">
        <v>587</v>
      </c>
      <c r="K203" s="215"/>
      <c r="L203" s="215"/>
      <c r="M203" s="36" t="s">
        <v>587</v>
      </c>
      <c r="N203" s="19" t="s">
        <v>3713</v>
      </c>
      <c r="O203" s="6" t="s">
        <v>587</v>
      </c>
      <c r="P203" s="215" t="s">
        <v>3188</v>
      </c>
      <c r="Q203" s="41" t="n">
        <f aca="false">Arch!C9</f>
        <v>4096</v>
      </c>
      <c r="R203" s="185" t="n">
        <f aca="false">SRC_MOD_052</f>
        <v>4096</v>
      </c>
      <c r="S203" s="35" t="str">
        <f aca="false">IF(ISNUMBER($AF203),INDEX(IDX_SrcStat,$AF203),"—")</f>
        <v>Active</v>
      </c>
      <c r="T203" s="35" t="n">
        <f aca="false">IF(ISNUMBER($AF203),INDEX(IDX_SrcGrade,$AF203),"—")</f>
        <v>1</v>
      </c>
      <c r="U203" s="35" t="s">
        <v>3222</v>
      </c>
      <c r="V203" s="186" t="n">
        <f aca="false">IF(AND($F203="原始數據",$U203&lt;&gt;"連結 SRC"),1,0)</f>
        <v>0</v>
      </c>
      <c r="W203" s="186" t="n">
        <f aca="false">IF(AND($F203="Analogy",OR($H203="—",$H203="")),1,0)</f>
        <v>0</v>
      </c>
      <c r="X203" s="186" t="n">
        <f aca="false">IF(AND(OR($F203="Analogy",$F203="Assumed"),$G203&lt;&gt;"低",$G203&lt;&gt;"高",NOT(ISNUMBER($K203)),NOT(ISNUMBER($L203)),OR($M203="—",$M203="")),1,0)</f>
        <v>0</v>
      </c>
      <c r="Y203" s="186" t="n">
        <f aca="false">IF(AND(OR($F203="Analogy",$F203="Assumed",$F203="Derived（待改公式）",$F203="Derived（公式）"),OR($N203="—",$N203="",$N203=0)),1,0)</f>
        <v>0</v>
      </c>
      <c r="Z203" s="186" t="n">
        <f aca="false">IF(AND($F203="Decision",OR($J203="—",$J203="")),1,0)</f>
        <v>0</v>
      </c>
      <c r="AA203" s="183" t="n">
        <f aca="false">IF(OR($J203="—",$J203=""),0,IF(COUNTIF(Decisions!$A$5:$A$300,$J203)=0,1,0))</f>
        <v>0</v>
      </c>
      <c r="AB203" s="186" t="n">
        <f aca="false">IF(AND($F203="原始數據",$S203&lt;&gt;"Active"),1,0)</f>
        <v>0</v>
      </c>
      <c r="AC203" s="186" t="n">
        <f aca="false">IF(AND(ISNUMBER($K203),ISNUMBER($L203),ISNUMBER($Q203)),IF(OR($Q203&lt;MIN($K203,$L203),$Q203&gt;MAX($K203,$L203)),1,0),0)</f>
        <v>0</v>
      </c>
      <c r="AD203" s="186" t="n">
        <f aca="false">IF(AND(ISNUMBER($T203),$P203="高"),IF($T203=3,1,0),0)</f>
        <v>0</v>
      </c>
      <c r="AE203" s="186" t="n">
        <f aca="false">IF($S203="不存在",1,0)</f>
        <v>0</v>
      </c>
      <c r="AF203" s="35" t="n">
        <f aca="false">IF(OR($H203="—",$H203=""),"—",MATCH($H203,IDX_SrcID,0))</f>
        <v>229</v>
      </c>
      <c r="AG203" s="104" t="n">
        <f aca="false">IF(AND($P203="高",OR($AD203=1,$X203=1)),1,0)</f>
        <v>0</v>
      </c>
      <c r="AH203" s="104" t="n">
        <f aca="false">IF(AND($P203="高",$AG203=0,OR($F203&lt;&gt;"原始數據",$T203&lt;&gt;1)),1,0)</f>
        <v>0</v>
      </c>
      <c r="AI203" s="53" t="str">
        <f aca="false">IF(AND($P203="高",ISNUMBER($AF203)),INDEX(IDX_SrcDate,$AF203),"—")</f>
        <v>—</v>
      </c>
      <c r="AJ203" s="104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6" t="s">
        <v>3714</v>
      </c>
      <c r="B204" s="215" t="s">
        <v>3183</v>
      </c>
      <c r="C204" s="36" t="s">
        <v>3661</v>
      </c>
      <c r="D204" s="36" t="s">
        <v>3389</v>
      </c>
      <c r="E204" s="6" t="s">
        <v>246</v>
      </c>
      <c r="F204" s="215" t="s">
        <v>298</v>
      </c>
      <c r="G204" s="215" t="s">
        <v>3185</v>
      </c>
      <c r="H204" s="36" t="s">
        <v>3715</v>
      </c>
      <c r="I204" s="19" t="s">
        <v>3220</v>
      </c>
      <c r="J204" s="36" t="s">
        <v>587</v>
      </c>
      <c r="K204" s="217"/>
      <c r="L204" s="217"/>
      <c r="M204" s="36" t="s">
        <v>587</v>
      </c>
      <c r="N204" s="216" t="str">
        <f aca="false">Arch!$G$10</f>
        <v>V4-Pro 128；V4-Flash 64（官方 config.json num_attention_heads，v5.13 讀原文）；Astra [Assumed]</v>
      </c>
      <c r="O204" s="6" t="s">
        <v>3716</v>
      </c>
      <c r="P204" s="215" t="s">
        <v>3244</v>
      </c>
      <c r="Q204" s="41" t="n">
        <f aca="false">Arch!C10</f>
        <v>64</v>
      </c>
      <c r="R204" s="185" t="n">
        <f aca="false">SRC_MOD_053</f>
        <v>64</v>
      </c>
      <c r="S204" s="35" t="str">
        <f aca="false">IF(ISNUMBER($AF204),INDEX(IDX_SrcStat,$AF204),"—")</f>
        <v>Active</v>
      </c>
      <c r="T204" s="35" t="n">
        <f aca="false">IF(ISNUMBER($AF204),INDEX(IDX_SrcGrade,$AF204),"—")</f>
        <v>1</v>
      </c>
      <c r="U204" s="35" t="s">
        <v>3222</v>
      </c>
      <c r="V204" s="186" t="n">
        <f aca="false">IF(AND($F204="原始數據",$U204&lt;&gt;"連結 SRC"),1,0)</f>
        <v>0</v>
      </c>
      <c r="W204" s="186" t="n">
        <f aca="false">IF(AND($F204="Analogy",OR($H204="—",$H204="")),1,0)</f>
        <v>0</v>
      </c>
      <c r="X204" s="186" t="n">
        <f aca="false">IF(AND(OR($F204="Analogy",$F204="Assumed"),$G204&lt;&gt;"低",$G204&lt;&gt;"高",NOT(ISNUMBER($K204)),NOT(ISNUMBER($L204)),OR($M204="—",$M204="")),1,0)</f>
        <v>0</v>
      </c>
      <c r="Y204" s="186" t="n">
        <f aca="false">IF(AND(OR($F204="Analogy",$F204="Assumed",$F204="Derived（待改公式）",$F204="Derived（公式）"),OR($N204="—",$N204="",$N204=0)),1,0)</f>
        <v>0</v>
      </c>
      <c r="Z204" s="186" t="n">
        <f aca="false">IF(AND($F204="Decision",OR($J204="—",$J204="")),1,0)</f>
        <v>0</v>
      </c>
      <c r="AA204" s="183" t="n">
        <f aca="false">IF(OR($J204="—",$J204=""),0,IF(COUNTIF(Decisions!$A$5:$A$300,$J204)=0,1,0))</f>
        <v>0</v>
      </c>
      <c r="AB204" s="186" t="n">
        <f aca="false">IF(AND($F204="原始數據",$S204&lt;&gt;"Active"),1,0)</f>
        <v>0</v>
      </c>
      <c r="AC204" s="186" t="n">
        <f aca="false">IF(AND(ISNUMBER($K204),ISNUMBER($L204),ISNUMBER($Q204)),IF(OR($Q204&lt;MIN($K204,$L204),$Q204&gt;MAX($K204,$L204)),1,0),0)</f>
        <v>0</v>
      </c>
      <c r="AD204" s="186" t="n">
        <f aca="false">IF(AND(ISNUMBER($T204),$P204="高"),IF($T204=3,1,0),0)</f>
        <v>0</v>
      </c>
      <c r="AE204" s="186" t="n">
        <f aca="false">IF($S204="不存在",1,0)</f>
        <v>0</v>
      </c>
      <c r="AF204" s="35" t="n">
        <f aca="false">IF(OR($H204="—",$H204=""),"—",MATCH($H204,IDX_SrcID,0))</f>
        <v>230</v>
      </c>
      <c r="AG204" s="104" t="n">
        <f aca="false">IF(AND($P204="高",OR($AD204=1,$X204=1)),1,0)</f>
        <v>0</v>
      </c>
      <c r="AH204" s="104" t="n">
        <f aca="false">IF(AND($P204="高",$AG204=0,OR($F204&lt;&gt;"原始數據",$T204&lt;&gt;1)),1,0)</f>
        <v>0</v>
      </c>
      <c r="AI204" s="53" t="str">
        <f aca="false">IF(AND($P204="高",ISNUMBER($AF204)),INDEX(IDX_SrcDate,$AF204),"—")</f>
        <v>—</v>
      </c>
      <c r="AJ204" s="104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6" t="s">
        <v>3717</v>
      </c>
      <c r="B205" s="215" t="s">
        <v>3183</v>
      </c>
      <c r="C205" s="36" t="s">
        <v>3661</v>
      </c>
      <c r="D205" s="36" t="s">
        <v>3718</v>
      </c>
      <c r="E205" s="19" t="s">
        <v>3719</v>
      </c>
      <c r="F205" s="215" t="s">
        <v>298</v>
      </c>
      <c r="G205" s="215" t="s">
        <v>3185</v>
      </c>
      <c r="H205" s="36" t="s">
        <v>3720</v>
      </c>
      <c r="I205" s="19" t="s">
        <v>3519</v>
      </c>
      <c r="J205" s="36" t="s">
        <v>587</v>
      </c>
      <c r="K205" s="215"/>
      <c r="L205" s="215"/>
      <c r="M205" s="36" t="s">
        <v>587</v>
      </c>
      <c r="N205" s="19" t="s">
        <v>3318</v>
      </c>
      <c r="O205" s="6" t="s">
        <v>587</v>
      </c>
      <c r="P205" s="215" t="s">
        <v>3188</v>
      </c>
      <c r="Q205" s="41" t="n">
        <f aca="false">Arch!C17</f>
        <v>4224</v>
      </c>
      <c r="R205" s="185" t="n">
        <f aca="false">SRC_MOD_018</f>
        <v>1024</v>
      </c>
      <c r="S205" s="35" t="str">
        <f aca="false">IF(ISNUMBER($AF205),INDEX(IDX_SrcStat,$AF205),"—")</f>
        <v>Active</v>
      </c>
      <c r="T205" s="35" t="n">
        <f aca="false">IF(ISNUMBER($AF205),INDEX(IDX_SrcGrade,$AF205),"—")</f>
        <v>3</v>
      </c>
      <c r="U205" s="35" t="s">
        <v>3222</v>
      </c>
      <c r="V205" s="186" t="n">
        <f aca="false">IF(AND($F205="原始數據",$U205&lt;&gt;"連結 SRC"),1,0)</f>
        <v>0</v>
      </c>
      <c r="W205" s="186" t="n">
        <f aca="false">IF(AND($F205="Analogy",OR($H205="—",$H205="")),1,0)</f>
        <v>0</v>
      </c>
      <c r="X205" s="186" t="n">
        <f aca="false">IF(AND(OR($F205="Analogy",$F205="Assumed"),$G205&lt;&gt;"低",$G205&lt;&gt;"高",NOT(ISNUMBER($K205)),NOT(ISNUMBER($L205)),OR($M205="—",$M205="")),1,0)</f>
        <v>0</v>
      </c>
      <c r="Y205" s="186" t="n">
        <f aca="false">IF(AND(OR($F205="Analogy",$F205="Assumed",$F205="Derived（待改公式）",$F205="Derived（公式）"),OR($N205="—",$N205="",$N205=0)),1,0)</f>
        <v>0</v>
      </c>
      <c r="Z205" s="186" t="n">
        <f aca="false">IF(AND($F205="Decision",OR($J205="—",$J205="")),1,0)</f>
        <v>0</v>
      </c>
      <c r="AA205" s="183" t="n">
        <f aca="false">IF(OR($J205="—",$J205=""),0,IF(COUNTIF(Decisions!$A$5:$A$300,$J205)=0,1,0))</f>
        <v>0</v>
      </c>
      <c r="AB205" s="186" t="n">
        <f aca="false">IF(AND($F205="原始數據",$S205&lt;&gt;"Active"),1,0)</f>
        <v>0</v>
      </c>
      <c r="AC205" s="186" t="n">
        <f aca="false">IF(AND(ISNUMBER($K205),ISNUMBER($L205),ISNUMBER($Q205)),IF(OR($Q205&lt;MIN($K205,$L205),$Q205&gt;MAX($K205,$L205)),1,0),0)</f>
        <v>0</v>
      </c>
      <c r="AD205" s="186" t="n">
        <f aca="false">IF(AND(ISNUMBER($T205),$P205="高"),IF($T205=3,1,0),0)</f>
        <v>0</v>
      </c>
      <c r="AE205" s="186" t="n">
        <f aca="false">IF($S205="不存在",1,0)</f>
        <v>0</v>
      </c>
      <c r="AF205" s="35" t="n">
        <f aca="false">IF(OR($H205="—",$H205=""),"—",MATCH($H205,IDX_SrcID,0))</f>
        <v>195</v>
      </c>
      <c r="AG205" s="104" t="n">
        <f aca="false">IF(AND($P205="高",OR($AD205=1,$X205=1)),1,0)</f>
        <v>0</v>
      </c>
      <c r="AH205" s="104" t="n">
        <f aca="false">IF(AND($P205="高",$AG205=0,OR($F205&lt;&gt;"原始數據",$T205&lt;&gt;1)),1,0)</f>
        <v>0</v>
      </c>
      <c r="AI205" s="53" t="str">
        <f aca="false">IF(AND($P205="高",ISNUMBER($AF205)),INDEX(IDX_SrcDate,$AF205),"—")</f>
        <v>—</v>
      </c>
      <c r="AJ205" s="104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6" t="s">
        <v>3721</v>
      </c>
      <c r="B206" s="215" t="s">
        <v>3183</v>
      </c>
      <c r="C206" s="36" t="s">
        <v>3661</v>
      </c>
      <c r="D206" s="36" t="s">
        <v>3238</v>
      </c>
      <c r="E206" s="19" t="s">
        <v>3719</v>
      </c>
      <c r="F206" s="215" t="s">
        <v>298</v>
      </c>
      <c r="G206" s="215" t="s">
        <v>3185</v>
      </c>
      <c r="H206" s="36" t="s">
        <v>3720</v>
      </c>
      <c r="I206" s="19" t="s">
        <v>3519</v>
      </c>
      <c r="J206" s="36" t="s">
        <v>587</v>
      </c>
      <c r="K206" s="215"/>
      <c r="L206" s="215"/>
      <c r="M206" s="36" t="s">
        <v>587</v>
      </c>
      <c r="N206" s="19" t="s">
        <v>3318</v>
      </c>
      <c r="O206" s="6" t="s">
        <v>587</v>
      </c>
      <c r="P206" s="215" t="s">
        <v>3188</v>
      </c>
      <c r="Q206" s="41" t="n">
        <f aca="false">Arch!D17</f>
        <v>4224</v>
      </c>
      <c r="R206" s="185" t="n">
        <f aca="false">SRC_MOD_018</f>
        <v>1024</v>
      </c>
      <c r="S206" s="35" t="str">
        <f aca="false">IF(ISNUMBER($AF206),INDEX(IDX_SrcStat,$AF206),"—")</f>
        <v>Active</v>
      </c>
      <c r="T206" s="35" t="n">
        <f aca="false">IF(ISNUMBER($AF206),INDEX(IDX_SrcGrade,$AF206),"—")</f>
        <v>3</v>
      </c>
      <c r="U206" s="35" t="s">
        <v>3222</v>
      </c>
      <c r="V206" s="186" t="n">
        <f aca="false">IF(AND($F206="原始數據",$U206&lt;&gt;"連結 SRC"),1,0)</f>
        <v>0</v>
      </c>
      <c r="W206" s="186" t="n">
        <f aca="false">IF(AND($F206="Analogy",OR($H206="—",$H206="")),1,0)</f>
        <v>0</v>
      </c>
      <c r="X206" s="186" t="n">
        <f aca="false">IF(AND(OR($F206="Analogy",$F206="Assumed"),$G206&lt;&gt;"低",$G206&lt;&gt;"高",NOT(ISNUMBER($K206)),NOT(ISNUMBER($L206)),OR($M206="—",$M206="")),1,0)</f>
        <v>0</v>
      </c>
      <c r="Y206" s="186" t="n">
        <f aca="false">IF(AND(OR($F206="Analogy",$F206="Assumed",$F206="Derived（待改公式）",$F206="Derived（公式）"),OR($N206="—",$N206="",$N206=0)),1,0)</f>
        <v>0</v>
      </c>
      <c r="Z206" s="186" t="n">
        <f aca="false">IF(AND($F206="Decision",OR($J206="—",$J206="")),1,0)</f>
        <v>0</v>
      </c>
      <c r="AA206" s="183" t="n">
        <f aca="false">IF(OR($J206="—",$J206=""),0,IF(COUNTIF(Decisions!$A$5:$A$300,$J206)=0,1,0))</f>
        <v>0</v>
      </c>
      <c r="AB206" s="186" t="n">
        <f aca="false">IF(AND($F206="原始數據",$S206&lt;&gt;"Active"),1,0)</f>
        <v>0</v>
      </c>
      <c r="AC206" s="186" t="n">
        <f aca="false">IF(AND(ISNUMBER($K206),ISNUMBER($L206),ISNUMBER($Q206)),IF(OR($Q206&lt;MIN($K206,$L206),$Q206&gt;MAX($K206,$L206)),1,0),0)</f>
        <v>0</v>
      </c>
      <c r="AD206" s="186" t="n">
        <f aca="false">IF(AND(ISNUMBER($T206),$P206="高"),IF($T206=3,1,0),0)</f>
        <v>0</v>
      </c>
      <c r="AE206" s="186" t="n">
        <f aca="false">IF($S206="不存在",1,0)</f>
        <v>0</v>
      </c>
      <c r="AF206" s="35" t="n">
        <f aca="false">IF(OR($H206="—",$H206=""),"—",MATCH($H206,IDX_SrcID,0))</f>
        <v>195</v>
      </c>
      <c r="AG206" s="104" t="n">
        <f aca="false">IF(AND($P206="高",OR($AD206=1,$X206=1)),1,0)</f>
        <v>0</v>
      </c>
      <c r="AH206" s="104" t="n">
        <f aca="false">IF(AND($P206="高",$AG206=0,OR($F206&lt;&gt;"原始數據",$T206&lt;&gt;1)),1,0)</f>
        <v>0</v>
      </c>
      <c r="AI206" s="53" t="str">
        <f aca="false">IF(AND($P206="高",ISNUMBER($AF206)),INDEX(IDX_SrcDate,$AF206),"—")</f>
        <v>—</v>
      </c>
      <c r="AJ206" s="104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6" t="s">
        <v>3722</v>
      </c>
      <c r="B207" s="215" t="s">
        <v>3183</v>
      </c>
      <c r="C207" s="36" t="s">
        <v>3661</v>
      </c>
      <c r="D207" s="36" t="s">
        <v>3057</v>
      </c>
      <c r="E207" s="19" t="s">
        <v>235</v>
      </c>
      <c r="F207" s="36" t="s">
        <v>80</v>
      </c>
      <c r="G207" s="215" t="s">
        <v>3185</v>
      </c>
      <c r="H207" s="36" t="s">
        <v>587</v>
      </c>
      <c r="I207" s="6" t="s">
        <v>587</v>
      </c>
      <c r="J207" s="36" t="s">
        <v>587</v>
      </c>
      <c r="K207" s="217" t="n">
        <v>2000</v>
      </c>
      <c r="L207" s="217" t="n">
        <v>10000</v>
      </c>
      <c r="M207" s="36" t="s">
        <v>3723</v>
      </c>
      <c r="N207" s="216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587</v>
      </c>
      <c r="P207" s="215" t="s">
        <v>1116</v>
      </c>
      <c r="Q207" s="41" t="n">
        <f aca="false">Arch!E6</f>
        <v>4000</v>
      </c>
      <c r="R207" s="36" t="s">
        <v>587</v>
      </c>
      <c r="S207" s="35" t="str">
        <f aca="false">IF(ISNUMBER($AF207),INDEX(IDX_SrcStat,$AF207),"—")</f>
        <v>—</v>
      </c>
      <c r="T207" s="35" t="str">
        <f aca="false">IF(ISNUMBER($AF207),INDEX(IDX_SrcGrade,$AF207),"—")</f>
        <v>—</v>
      </c>
      <c r="U207" s="35" t="s">
        <v>3189</v>
      </c>
      <c r="V207" s="186" t="n">
        <f aca="false">IF(AND($F207="原始數據",$U207&lt;&gt;"連結 SRC"),1,0)</f>
        <v>0</v>
      </c>
      <c r="W207" s="186" t="n">
        <f aca="false">IF(AND($F207="Analogy",OR($H207="—",$H207="")),1,0)</f>
        <v>0</v>
      </c>
      <c r="X207" s="186" t="n">
        <f aca="false">IF(AND(OR($F207="Analogy",$F207="Assumed"),$G207&lt;&gt;"低",$G207&lt;&gt;"高",NOT(ISNUMBER($K207)),NOT(ISNUMBER($L207)),OR($M207="—",$M207="")),1,0)</f>
        <v>0</v>
      </c>
      <c r="Y207" s="186" t="n">
        <f aca="false">IF(AND(OR($F207="Analogy",$F207="Assumed",$F207="Derived（待改公式）",$F207="Derived（公式）"),OR($N207="—",$N207="",$N207=0)),1,0)</f>
        <v>0</v>
      </c>
      <c r="Z207" s="186" t="n">
        <f aca="false">IF(AND($F207="Decision",OR($J207="—",$J207="")),1,0)</f>
        <v>0</v>
      </c>
      <c r="AA207" s="183" t="n">
        <f aca="false">IF(OR($J207="—",$J207=""),0,IF(COUNTIF(Decisions!$A$5:$A$300,$J207)=0,1,0))</f>
        <v>0</v>
      </c>
      <c r="AB207" s="186" t="n">
        <f aca="false">IF(AND($F207="原始數據",$S207&lt;&gt;"Active"),1,0)</f>
        <v>0</v>
      </c>
      <c r="AC207" s="186" t="n">
        <f aca="false">IF(AND(ISNUMBER($K207),ISNUMBER($L207),ISNUMBER($Q207)),IF(OR($Q207&lt;MIN($K207,$L207),$Q207&gt;MAX($K207,$L207)),1,0),0)</f>
        <v>0</v>
      </c>
      <c r="AD207" s="186" t="n">
        <f aca="false">IF(AND(ISNUMBER($T207),$P207="高"),IF($T207=3,1,0),0)</f>
        <v>0</v>
      </c>
      <c r="AE207" s="186" t="n">
        <f aca="false">IF($S207="不存在",1,0)</f>
        <v>0</v>
      </c>
      <c r="AF207" s="35" t="str">
        <f aca="false">IF(OR($H207="—",$H207=""),"—",MATCH($H207,IDX_SrcID,0))</f>
        <v>—</v>
      </c>
      <c r="AG207" s="104" t="n">
        <f aca="false">IF(AND($P207="高",OR($AD207=1,$X207=1)),1,0)</f>
        <v>0</v>
      </c>
      <c r="AH207" s="104" t="n">
        <f aca="false">IF(AND($P207="高",$AG207=0,OR($F207&lt;&gt;"原始數據",$T207&lt;&gt;1)),1,0)</f>
        <v>1</v>
      </c>
      <c r="AI207" s="53" t="str">
        <f aca="false">IF(AND($P207="高",ISNUMBER($AF207)),INDEX(IDX_SrcDate,$AF207),"—")</f>
        <v>—</v>
      </c>
      <c r="AJ207" s="104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6" t="s">
        <v>3724</v>
      </c>
      <c r="B208" s="215" t="s">
        <v>3183</v>
      </c>
      <c r="C208" s="36" t="s">
        <v>3661</v>
      </c>
      <c r="D208" s="36" t="s">
        <v>3060</v>
      </c>
      <c r="E208" s="19" t="s">
        <v>239</v>
      </c>
      <c r="F208" s="36" t="s">
        <v>80</v>
      </c>
      <c r="G208" s="215" t="s">
        <v>3185</v>
      </c>
      <c r="H208" s="36" t="s">
        <v>587</v>
      </c>
      <c r="I208" s="6" t="s">
        <v>587</v>
      </c>
      <c r="J208" s="36" t="s">
        <v>587</v>
      </c>
      <c r="K208" s="217" t="n">
        <v>60</v>
      </c>
      <c r="L208" s="217" t="n">
        <v>250</v>
      </c>
      <c r="M208" s="36" t="s">
        <v>3725</v>
      </c>
      <c r="N208" s="216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587</v>
      </c>
      <c r="P208" s="215" t="s">
        <v>1116</v>
      </c>
      <c r="Q208" s="41" t="n">
        <f aca="false">Arch!E7</f>
        <v>180</v>
      </c>
      <c r="R208" s="36" t="s">
        <v>587</v>
      </c>
      <c r="S208" s="35" t="str">
        <f aca="false">IF(ISNUMBER($AF208),INDEX(IDX_SrcStat,$AF208),"—")</f>
        <v>—</v>
      </c>
      <c r="T208" s="35" t="str">
        <f aca="false">IF(ISNUMBER($AF208),INDEX(IDX_SrcGrade,$AF208),"—")</f>
        <v>—</v>
      </c>
      <c r="U208" s="35" t="s">
        <v>3189</v>
      </c>
      <c r="V208" s="186" t="n">
        <f aca="false">IF(AND($F208="原始數據",$U208&lt;&gt;"連結 SRC"),1,0)</f>
        <v>0</v>
      </c>
      <c r="W208" s="186" t="n">
        <f aca="false">IF(AND($F208="Analogy",OR($H208="—",$H208="")),1,0)</f>
        <v>0</v>
      </c>
      <c r="X208" s="186" t="n">
        <f aca="false">IF(AND(OR($F208="Analogy",$F208="Assumed"),$G208&lt;&gt;"低",$G208&lt;&gt;"高",NOT(ISNUMBER($K208)),NOT(ISNUMBER($L208)),OR($M208="—",$M208="")),1,0)</f>
        <v>0</v>
      </c>
      <c r="Y208" s="186" t="n">
        <f aca="false">IF(AND(OR($F208="Analogy",$F208="Assumed",$F208="Derived（待改公式）",$F208="Derived（公式）"),OR($N208="—",$N208="",$N208=0)),1,0)</f>
        <v>0</v>
      </c>
      <c r="Z208" s="186" t="n">
        <f aca="false">IF(AND($F208="Decision",OR($J208="—",$J208="")),1,0)</f>
        <v>0</v>
      </c>
      <c r="AA208" s="183" t="n">
        <f aca="false">IF(OR($J208="—",$J208=""),0,IF(COUNTIF(Decisions!$A$5:$A$300,$J208)=0,1,0))</f>
        <v>0</v>
      </c>
      <c r="AB208" s="186" t="n">
        <f aca="false">IF(AND($F208="原始數據",$S208&lt;&gt;"Active"),1,0)</f>
        <v>0</v>
      </c>
      <c r="AC208" s="186" t="n">
        <f aca="false">IF(AND(ISNUMBER($K208),ISNUMBER($L208),ISNUMBER($Q208)),IF(OR($Q208&lt;MIN($K208,$L208),$Q208&gt;MAX($K208,$L208)),1,0),0)</f>
        <v>0</v>
      </c>
      <c r="AD208" s="186" t="n">
        <f aca="false">IF(AND(ISNUMBER($T208),$P208="高"),IF($T208=3,1,0),0)</f>
        <v>0</v>
      </c>
      <c r="AE208" s="186" t="n">
        <f aca="false">IF($S208="不存在",1,0)</f>
        <v>0</v>
      </c>
      <c r="AF208" s="35" t="str">
        <f aca="false">IF(OR($H208="—",$H208=""),"—",MATCH($H208,IDX_SrcID,0))</f>
        <v>—</v>
      </c>
      <c r="AG208" s="104" t="n">
        <f aca="false">IF(AND($P208="高",OR($AD208=1,$X208=1)),1,0)</f>
        <v>0</v>
      </c>
      <c r="AH208" s="104" t="n">
        <f aca="false">IF(AND($P208="高",$AG208=0,OR($F208&lt;&gt;"原始數據",$T208&lt;&gt;1)),1,0)</f>
        <v>1</v>
      </c>
      <c r="AI208" s="53" t="str">
        <f aca="false">IF(AND($P208="高",ISNUMBER($AF208)),INDEX(IDX_SrcDate,$AF208),"—")</f>
        <v>—</v>
      </c>
      <c r="AJ208" s="104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6" t="s">
        <v>3726</v>
      </c>
      <c r="B209" s="215" t="s">
        <v>3183</v>
      </c>
      <c r="C209" s="36" t="s">
        <v>3661</v>
      </c>
      <c r="D209" s="36" t="s">
        <v>3063</v>
      </c>
      <c r="E209" s="19" t="s">
        <v>241</v>
      </c>
      <c r="F209" s="36" t="s">
        <v>80</v>
      </c>
      <c r="G209" s="215" t="s">
        <v>3185</v>
      </c>
      <c r="H209" s="36" t="s">
        <v>587</v>
      </c>
      <c r="I209" s="6" t="s">
        <v>587</v>
      </c>
      <c r="J209" s="36" t="s">
        <v>587</v>
      </c>
      <c r="K209" s="217" t="n">
        <v>80</v>
      </c>
      <c r="L209" s="217" t="n">
        <v>160</v>
      </c>
      <c r="M209" s="36" t="s">
        <v>3727</v>
      </c>
      <c r="N209" s="6" t="s">
        <v>3728</v>
      </c>
      <c r="O209" s="6" t="s">
        <v>587</v>
      </c>
      <c r="P209" s="215" t="s">
        <v>1116</v>
      </c>
      <c r="Q209" s="41" t="n">
        <f aca="false">Arch!E8</f>
        <v>100</v>
      </c>
      <c r="R209" s="36" t="s">
        <v>587</v>
      </c>
      <c r="S209" s="35" t="str">
        <f aca="false">IF(ISNUMBER($AF209),INDEX(IDX_SrcStat,$AF209),"—")</f>
        <v>—</v>
      </c>
      <c r="T209" s="35" t="str">
        <f aca="false">IF(ISNUMBER($AF209),INDEX(IDX_SrcGrade,$AF209),"—")</f>
        <v>—</v>
      </c>
      <c r="U209" s="35" t="s">
        <v>3189</v>
      </c>
      <c r="V209" s="186" t="n">
        <f aca="false">IF(AND($F209="原始數據",$U209&lt;&gt;"連結 SRC"),1,0)</f>
        <v>0</v>
      </c>
      <c r="W209" s="186" t="n">
        <f aca="false">IF(AND($F209="Analogy",OR($H209="—",$H209="")),1,0)</f>
        <v>0</v>
      </c>
      <c r="X209" s="186" t="n">
        <f aca="false">IF(AND(OR($F209="Analogy",$F209="Assumed"),$G209&lt;&gt;"低",$G209&lt;&gt;"高",NOT(ISNUMBER($K209)),NOT(ISNUMBER($L209)),OR($M209="—",$M209="")),1,0)</f>
        <v>0</v>
      </c>
      <c r="Y209" s="186" t="n">
        <f aca="false">IF(AND(OR($F209="Analogy",$F209="Assumed",$F209="Derived（待改公式）",$F209="Derived（公式）"),OR($N209="—",$N209="",$N209=0)),1,0)</f>
        <v>0</v>
      </c>
      <c r="Z209" s="186" t="n">
        <f aca="false">IF(AND($F209="Decision",OR($J209="—",$J209="")),1,0)</f>
        <v>0</v>
      </c>
      <c r="AA209" s="183" t="n">
        <f aca="false">IF(OR($J209="—",$J209=""),0,IF(COUNTIF(Decisions!$A$5:$A$300,$J209)=0,1,0))</f>
        <v>0</v>
      </c>
      <c r="AB209" s="186" t="n">
        <f aca="false">IF(AND($F209="原始數據",$S209&lt;&gt;"Active"),1,0)</f>
        <v>0</v>
      </c>
      <c r="AC209" s="186" t="n">
        <f aca="false">IF(AND(ISNUMBER($K209),ISNUMBER($L209),ISNUMBER($Q209)),IF(OR($Q209&lt;MIN($K209,$L209),$Q209&gt;MAX($K209,$L209)),1,0),0)</f>
        <v>0</v>
      </c>
      <c r="AD209" s="186" t="n">
        <f aca="false">IF(AND(ISNUMBER($T209),$P209="高"),IF($T209=3,1,0),0)</f>
        <v>0</v>
      </c>
      <c r="AE209" s="186" t="n">
        <f aca="false">IF($S209="不存在",1,0)</f>
        <v>0</v>
      </c>
      <c r="AF209" s="35" t="str">
        <f aca="false">IF(OR($H209="—",$H209=""),"—",MATCH($H209,IDX_SrcID,0))</f>
        <v>—</v>
      </c>
      <c r="AG209" s="104" t="n">
        <f aca="false">IF(AND($P209="高",OR($AD209=1,$X209=1)),1,0)</f>
        <v>0</v>
      </c>
      <c r="AH209" s="104" t="n">
        <f aca="false">IF(AND($P209="高",$AG209=0,OR($F209&lt;&gt;"原始數據",$T209&lt;&gt;1)),1,0)</f>
        <v>1</v>
      </c>
      <c r="AI209" s="53" t="str">
        <f aca="false">IF(AND($P209="高",ISNUMBER($AF209)),INDEX(IDX_SrcDate,$AF209),"—")</f>
        <v>—</v>
      </c>
      <c r="AJ209" s="104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6" t="s">
        <v>3729</v>
      </c>
      <c r="B210" s="215" t="s">
        <v>3183</v>
      </c>
      <c r="C210" s="36" t="s">
        <v>3661</v>
      </c>
      <c r="D210" s="36" t="s">
        <v>3066</v>
      </c>
      <c r="E210" s="6" t="s">
        <v>244</v>
      </c>
      <c r="F210" s="36" t="s">
        <v>80</v>
      </c>
      <c r="G210" s="215" t="s">
        <v>3185</v>
      </c>
      <c r="H210" s="36" t="s">
        <v>587</v>
      </c>
      <c r="I210" s="6" t="s">
        <v>587</v>
      </c>
      <c r="J210" s="36" t="s">
        <v>587</v>
      </c>
      <c r="K210" s="217" t="n">
        <v>8192</v>
      </c>
      <c r="L210" s="217" t="n">
        <v>16384</v>
      </c>
      <c r="M210" s="36" t="s">
        <v>3730</v>
      </c>
      <c r="N210" s="6" t="s">
        <v>3731</v>
      </c>
      <c r="O210" s="6" t="s">
        <v>587</v>
      </c>
      <c r="P210" s="215" t="s">
        <v>3188</v>
      </c>
      <c r="Q210" s="41" t="n">
        <f aca="false">Arch!E9</f>
        <v>12288</v>
      </c>
      <c r="R210" s="36" t="s">
        <v>587</v>
      </c>
      <c r="S210" s="35" t="str">
        <f aca="false">IF(ISNUMBER($AF210),INDEX(IDX_SrcStat,$AF210),"—")</f>
        <v>—</v>
      </c>
      <c r="T210" s="35" t="str">
        <f aca="false">IF(ISNUMBER($AF210),INDEX(IDX_SrcGrade,$AF210),"—")</f>
        <v>—</v>
      </c>
      <c r="U210" s="35" t="s">
        <v>3189</v>
      </c>
      <c r="V210" s="186" t="n">
        <f aca="false">IF(AND($F210="原始數據",$U210&lt;&gt;"連結 SRC"),1,0)</f>
        <v>0</v>
      </c>
      <c r="W210" s="186" t="n">
        <f aca="false">IF(AND($F210="Analogy",OR($H210="—",$H210="")),1,0)</f>
        <v>0</v>
      </c>
      <c r="X210" s="186" t="n">
        <f aca="false">IF(AND(OR($F210="Analogy",$F210="Assumed"),$G210&lt;&gt;"低",$G210&lt;&gt;"高",NOT(ISNUMBER($K210)),NOT(ISNUMBER($L210)),OR($M210="—",$M210="")),1,0)</f>
        <v>0</v>
      </c>
      <c r="Y210" s="186" t="n">
        <f aca="false">IF(AND(OR($F210="Analogy",$F210="Assumed",$F210="Derived（待改公式）",$F210="Derived（公式）"),OR($N210="—",$N210="",$N210=0)),1,0)</f>
        <v>0</v>
      </c>
      <c r="Z210" s="186" t="n">
        <f aca="false">IF(AND($F210="Decision",OR($J210="—",$J210="")),1,0)</f>
        <v>0</v>
      </c>
      <c r="AA210" s="183" t="n">
        <f aca="false">IF(OR($J210="—",$J210=""),0,IF(COUNTIF(Decisions!$A$5:$A$300,$J210)=0,1,0))</f>
        <v>0</v>
      </c>
      <c r="AB210" s="186" t="n">
        <f aca="false">IF(AND($F210="原始數據",$S210&lt;&gt;"Active"),1,0)</f>
        <v>0</v>
      </c>
      <c r="AC210" s="186" t="n">
        <f aca="false">IF(AND(ISNUMBER($K210),ISNUMBER($L210),ISNUMBER($Q210)),IF(OR($Q210&lt;MIN($K210,$L210),$Q210&gt;MAX($K210,$L210)),1,0),0)</f>
        <v>0</v>
      </c>
      <c r="AD210" s="186" t="n">
        <f aca="false">IF(AND(ISNUMBER($T210),$P210="高"),IF($T210=3,1,0),0)</f>
        <v>0</v>
      </c>
      <c r="AE210" s="186" t="n">
        <f aca="false">IF($S210="不存在",1,0)</f>
        <v>0</v>
      </c>
      <c r="AF210" s="35" t="str">
        <f aca="false">IF(OR($H210="—",$H210=""),"—",MATCH($H210,IDX_SrcID,0))</f>
        <v>—</v>
      </c>
      <c r="AG210" s="104" t="n">
        <f aca="false">IF(AND($P210="高",OR($AD210=1,$X210=1)),1,0)</f>
        <v>0</v>
      </c>
      <c r="AH210" s="104" t="n">
        <f aca="false">IF(AND($P210="高",$AG210=0,OR($F210&lt;&gt;"原始數據",$T210&lt;&gt;1)),1,0)</f>
        <v>0</v>
      </c>
      <c r="AI210" s="53" t="str">
        <f aca="false">IF(AND($P210="高",ISNUMBER($AF210)),INDEX(IDX_SrcDate,$AF210),"—")</f>
        <v>—</v>
      </c>
      <c r="AJ210" s="104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6" t="s">
        <v>3732</v>
      </c>
      <c r="B211" s="215" t="s">
        <v>3183</v>
      </c>
      <c r="C211" s="36" t="s">
        <v>3661</v>
      </c>
      <c r="D211" s="36" t="s">
        <v>3069</v>
      </c>
      <c r="E211" s="6" t="s">
        <v>246</v>
      </c>
      <c r="F211" s="36" t="s">
        <v>80</v>
      </c>
      <c r="G211" s="215" t="s">
        <v>3185</v>
      </c>
      <c r="H211" s="36" t="s">
        <v>587</v>
      </c>
      <c r="I211" s="6" t="s">
        <v>587</v>
      </c>
      <c r="J211" s="36" t="s">
        <v>587</v>
      </c>
      <c r="K211" s="217" t="n">
        <v>64</v>
      </c>
      <c r="L211" s="217" t="n">
        <v>128</v>
      </c>
      <c r="M211" s="36" t="s">
        <v>3733</v>
      </c>
      <c r="N211" s="6" t="s">
        <v>3731</v>
      </c>
      <c r="O211" s="6" t="s">
        <v>587</v>
      </c>
      <c r="P211" s="215" t="s">
        <v>3244</v>
      </c>
      <c r="Q211" s="41" t="n">
        <f aca="false">Arch!E10</f>
        <v>96</v>
      </c>
      <c r="R211" s="36" t="s">
        <v>587</v>
      </c>
      <c r="S211" s="35" t="str">
        <f aca="false">IF(ISNUMBER($AF211),INDEX(IDX_SrcStat,$AF211),"—")</f>
        <v>—</v>
      </c>
      <c r="T211" s="35" t="str">
        <f aca="false">IF(ISNUMBER($AF211),INDEX(IDX_SrcGrade,$AF211),"—")</f>
        <v>—</v>
      </c>
      <c r="U211" s="35" t="s">
        <v>3189</v>
      </c>
      <c r="V211" s="186" t="n">
        <f aca="false">IF(AND($F211="原始數據",$U211&lt;&gt;"連結 SRC"),1,0)</f>
        <v>0</v>
      </c>
      <c r="W211" s="186" t="n">
        <f aca="false">IF(AND($F211="Analogy",OR($H211="—",$H211="")),1,0)</f>
        <v>0</v>
      </c>
      <c r="X211" s="186" t="n">
        <f aca="false">IF(AND(OR($F211="Analogy",$F211="Assumed"),$G211&lt;&gt;"低",$G211&lt;&gt;"高",NOT(ISNUMBER($K211)),NOT(ISNUMBER($L211)),OR($M211="—",$M211="")),1,0)</f>
        <v>0</v>
      </c>
      <c r="Y211" s="186" t="n">
        <f aca="false">IF(AND(OR($F211="Analogy",$F211="Assumed",$F211="Derived（待改公式）",$F211="Derived（公式）"),OR($N211="—",$N211="",$N211=0)),1,0)</f>
        <v>0</v>
      </c>
      <c r="Z211" s="186" t="n">
        <f aca="false">IF(AND($F211="Decision",OR($J211="—",$J211="")),1,0)</f>
        <v>0</v>
      </c>
      <c r="AA211" s="183" t="n">
        <f aca="false">IF(OR($J211="—",$J211=""),0,IF(COUNTIF(Decisions!$A$5:$A$300,$J211)=0,1,0))</f>
        <v>0</v>
      </c>
      <c r="AB211" s="186" t="n">
        <f aca="false">IF(AND($F211="原始數據",$S211&lt;&gt;"Active"),1,0)</f>
        <v>0</v>
      </c>
      <c r="AC211" s="186" t="n">
        <f aca="false">IF(AND(ISNUMBER($K211),ISNUMBER($L211),ISNUMBER($Q211)),IF(OR($Q211&lt;MIN($K211,$L211),$Q211&gt;MAX($K211,$L211)),1,0),0)</f>
        <v>0</v>
      </c>
      <c r="AD211" s="186" t="n">
        <f aca="false">IF(AND(ISNUMBER($T211),$P211="高"),IF($T211=3,1,0),0)</f>
        <v>0</v>
      </c>
      <c r="AE211" s="186" t="n">
        <f aca="false">IF($S211="不存在",1,0)</f>
        <v>0</v>
      </c>
      <c r="AF211" s="35" t="str">
        <f aca="false">IF(OR($H211="—",$H211=""),"—",MATCH($H211,IDX_SrcID,0))</f>
        <v>—</v>
      </c>
      <c r="AG211" s="104" t="n">
        <f aca="false">IF(AND($P211="高",OR($AD211=1,$X211=1)),1,0)</f>
        <v>0</v>
      </c>
      <c r="AH211" s="104" t="n">
        <f aca="false">IF(AND($P211="高",$AG211=0,OR($F211&lt;&gt;"原始數據",$T211&lt;&gt;1)),1,0)</f>
        <v>0</v>
      </c>
      <c r="AI211" s="53" t="str">
        <f aca="false">IF(AND($P211="高",ISNUMBER($AF211)),INDEX(IDX_SrcDate,$AF211),"—")</f>
        <v>—</v>
      </c>
      <c r="AJ211" s="104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6" t="s">
        <v>3734</v>
      </c>
      <c r="B212" s="215" t="s">
        <v>3183</v>
      </c>
      <c r="C212" s="36" t="s">
        <v>3661</v>
      </c>
      <c r="D212" s="36" t="s">
        <v>3072</v>
      </c>
      <c r="E212" s="6" t="s">
        <v>248</v>
      </c>
      <c r="F212" s="36" t="s">
        <v>80</v>
      </c>
      <c r="G212" s="215" t="s">
        <v>3185</v>
      </c>
      <c r="H212" s="36" t="s">
        <v>587</v>
      </c>
      <c r="I212" s="6" t="s">
        <v>587</v>
      </c>
      <c r="J212" s="36" t="s">
        <v>587</v>
      </c>
      <c r="K212" s="217" t="n">
        <v>128</v>
      </c>
      <c r="L212" s="217" t="n">
        <v>192</v>
      </c>
      <c r="M212" s="36" t="s">
        <v>3735</v>
      </c>
      <c r="N212" s="6" t="s">
        <v>3731</v>
      </c>
      <c r="O212" s="6" t="s">
        <v>587</v>
      </c>
      <c r="P212" s="215" t="s">
        <v>3244</v>
      </c>
      <c r="Q212" s="41" t="n">
        <f aca="false">Arch!E11</f>
        <v>128</v>
      </c>
      <c r="R212" s="36" t="s">
        <v>587</v>
      </c>
      <c r="S212" s="35" t="str">
        <f aca="false">IF(ISNUMBER($AF212),INDEX(IDX_SrcStat,$AF212),"—")</f>
        <v>—</v>
      </c>
      <c r="T212" s="35" t="str">
        <f aca="false">IF(ISNUMBER($AF212),INDEX(IDX_SrcGrade,$AF212),"—")</f>
        <v>—</v>
      </c>
      <c r="U212" s="35" t="s">
        <v>3189</v>
      </c>
      <c r="V212" s="186" t="n">
        <f aca="false">IF(AND($F212="原始數據",$U212&lt;&gt;"連結 SRC"),1,0)</f>
        <v>0</v>
      </c>
      <c r="W212" s="186" t="n">
        <f aca="false">IF(AND($F212="Analogy",OR($H212="—",$H212="")),1,0)</f>
        <v>0</v>
      </c>
      <c r="X212" s="186" t="n">
        <f aca="false">IF(AND(OR($F212="Analogy",$F212="Assumed"),$G212&lt;&gt;"低",$G212&lt;&gt;"高",NOT(ISNUMBER($K212)),NOT(ISNUMBER($L212)),OR($M212="—",$M212="")),1,0)</f>
        <v>0</v>
      </c>
      <c r="Y212" s="186" t="n">
        <f aca="false">IF(AND(OR($F212="Analogy",$F212="Assumed",$F212="Derived（待改公式）",$F212="Derived（公式）"),OR($N212="—",$N212="",$N212=0)),1,0)</f>
        <v>0</v>
      </c>
      <c r="Z212" s="186" t="n">
        <f aca="false">IF(AND($F212="Decision",OR($J212="—",$J212="")),1,0)</f>
        <v>0</v>
      </c>
      <c r="AA212" s="183" t="n">
        <f aca="false">IF(OR($J212="—",$J212=""),0,IF(COUNTIF(Decisions!$A$5:$A$300,$J212)=0,1,0))</f>
        <v>0</v>
      </c>
      <c r="AB212" s="186" t="n">
        <f aca="false">IF(AND($F212="原始數據",$S212&lt;&gt;"Active"),1,0)</f>
        <v>0</v>
      </c>
      <c r="AC212" s="186" t="n">
        <f aca="false">IF(AND(ISNUMBER($K212),ISNUMBER($L212),ISNUMBER($Q212)),IF(OR($Q212&lt;MIN($K212,$L212),$Q212&gt;MAX($K212,$L212)),1,0),0)</f>
        <v>0</v>
      </c>
      <c r="AD212" s="186" t="n">
        <f aca="false">IF(AND(ISNUMBER($T212),$P212="高"),IF($T212=3,1,0),0)</f>
        <v>0</v>
      </c>
      <c r="AE212" s="186" t="n">
        <f aca="false">IF($S212="不存在",1,0)</f>
        <v>0</v>
      </c>
      <c r="AF212" s="35" t="str">
        <f aca="false">IF(OR($H212="—",$H212=""),"—",MATCH($H212,IDX_SrcID,0))</f>
        <v>—</v>
      </c>
      <c r="AG212" s="104" t="n">
        <f aca="false">IF(AND($P212="高",OR($AD212=1,$X212=1)),1,0)</f>
        <v>0</v>
      </c>
      <c r="AH212" s="104" t="n">
        <f aca="false">IF(AND($P212="高",$AG212=0,OR($F212&lt;&gt;"原始數據",$T212&lt;&gt;1)),1,0)</f>
        <v>0</v>
      </c>
      <c r="AI212" s="53" t="str">
        <f aca="false">IF(AND($P212="高",ISNUMBER($AF212)),INDEX(IDX_SrcDate,$AF212),"—")</f>
        <v>—</v>
      </c>
      <c r="AJ212" s="104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6" t="s">
        <v>3736</v>
      </c>
      <c r="B213" s="215" t="s">
        <v>3183</v>
      </c>
      <c r="C213" s="36" t="s">
        <v>3661</v>
      </c>
      <c r="D213" s="36" t="s">
        <v>3075</v>
      </c>
      <c r="E213" s="6" t="s">
        <v>250</v>
      </c>
      <c r="F213" s="36" t="s">
        <v>80</v>
      </c>
      <c r="G213" s="215" t="s">
        <v>3185</v>
      </c>
      <c r="H213" s="36" t="s">
        <v>587</v>
      </c>
      <c r="I213" s="6" t="s">
        <v>587</v>
      </c>
      <c r="J213" s="36" t="s">
        <v>587</v>
      </c>
      <c r="K213" s="217" t="n">
        <v>256</v>
      </c>
      <c r="L213" s="217" t="n">
        <v>1024</v>
      </c>
      <c r="M213" s="36" t="s">
        <v>3737</v>
      </c>
      <c r="N213" s="6" t="s">
        <v>3738</v>
      </c>
      <c r="O213" s="6" t="s">
        <v>587</v>
      </c>
      <c r="P213" s="215" t="s">
        <v>3244</v>
      </c>
      <c r="Q213" s="41" t="n">
        <f aca="false">Arch!E12</f>
        <v>512</v>
      </c>
      <c r="R213" s="36" t="s">
        <v>587</v>
      </c>
      <c r="S213" s="35" t="str">
        <f aca="false">IF(ISNUMBER($AF213),INDEX(IDX_SrcStat,$AF213),"—")</f>
        <v>—</v>
      </c>
      <c r="T213" s="35" t="str">
        <f aca="false">IF(ISNUMBER($AF213),INDEX(IDX_SrcGrade,$AF213),"—")</f>
        <v>—</v>
      </c>
      <c r="U213" s="35" t="s">
        <v>3189</v>
      </c>
      <c r="V213" s="186" t="n">
        <f aca="false">IF(AND($F213="原始數據",$U213&lt;&gt;"連結 SRC"),1,0)</f>
        <v>0</v>
      </c>
      <c r="W213" s="186" t="n">
        <f aca="false">IF(AND($F213="Analogy",OR($H213="—",$H213="")),1,0)</f>
        <v>0</v>
      </c>
      <c r="X213" s="186" t="n">
        <f aca="false">IF(AND(OR($F213="Analogy",$F213="Assumed"),$G213&lt;&gt;"低",$G213&lt;&gt;"高",NOT(ISNUMBER($K213)),NOT(ISNUMBER($L213)),OR($M213="—",$M213="")),1,0)</f>
        <v>0</v>
      </c>
      <c r="Y213" s="186" t="n">
        <f aca="false">IF(AND(OR($F213="Analogy",$F213="Assumed",$F213="Derived（待改公式）",$F213="Derived（公式）"),OR($N213="—",$N213="",$N213=0)),1,0)</f>
        <v>0</v>
      </c>
      <c r="Z213" s="186" t="n">
        <f aca="false">IF(AND($F213="Decision",OR($J213="—",$J213="")),1,0)</f>
        <v>0</v>
      </c>
      <c r="AA213" s="183" t="n">
        <f aca="false">IF(OR($J213="—",$J213=""),0,IF(COUNTIF(Decisions!$A$5:$A$300,$J213)=0,1,0))</f>
        <v>0</v>
      </c>
      <c r="AB213" s="186" t="n">
        <f aca="false">IF(AND($F213="原始數據",$S213&lt;&gt;"Active"),1,0)</f>
        <v>0</v>
      </c>
      <c r="AC213" s="186" t="n">
        <f aca="false">IF(AND(ISNUMBER($K213),ISNUMBER($L213),ISNUMBER($Q213)),IF(OR($Q213&lt;MIN($K213,$L213),$Q213&gt;MAX($K213,$L213)),1,0),0)</f>
        <v>0</v>
      </c>
      <c r="AD213" s="186" t="n">
        <f aca="false">IF(AND(ISNUMBER($T213),$P213="高"),IF($T213=3,1,0),0)</f>
        <v>0</v>
      </c>
      <c r="AE213" s="186" t="n">
        <f aca="false">IF($S213="不存在",1,0)</f>
        <v>0</v>
      </c>
      <c r="AF213" s="35" t="str">
        <f aca="false">IF(OR($H213="—",$H213=""),"—",MATCH($H213,IDX_SrcID,0))</f>
        <v>—</v>
      </c>
      <c r="AG213" s="104" t="n">
        <f aca="false">IF(AND($P213="高",OR($AD213=1,$X213=1)),1,0)</f>
        <v>0</v>
      </c>
      <c r="AH213" s="104" t="n">
        <f aca="false">IF(AND($P213="高",$AG213=0,OR($F213&lt;&gt;"原始數據",$T213&lt;&gt;1)),1,0)</f>
        <v>0</v>
      </c>
      <c r="AI213" s="53" t="str">
        <f aca="false">IF(AND($P213="高",ISNUMBER($AF213)),INDEX(IDX_SrcDate,$AF213),"—")</f>
        <v>—</v>
      </c>
      <c r="AJ213" s="104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6" t="s">
        <v>3739</v>
      </c>
      <c r="B214" s="215" t="s">
        <v>3183</v>
      </c>
      <c r="C214" s="36" t="s">
        <v>3661</v>
      </c>
      <c r="D214" s="36" t="s">
        <v>3077</v>
      </c>
      <c r="E214" s="19" t="s">
        <v>3683</v>
      </c>
      <c r="F214" s="36" t="s">
        <v>80</v>
      </c>
      <c r="G214" s="215" t="s">
        <v>3185</v>
      </c>
      <c r="H214" s="36" t="s">
        <v>587</v>
      </c>
      <c r="I214" s="6" t="s">
        <v>587</v>
      </c>
      <c r="J214" s="36" t="s">
        <v>587</v>
      </c>
      <c r="K214" s="217" t="n">
        <v>8</v>
      </c>
      <c r="L214" s="217" t="n">
        <v>32</v>
      </c>
      <c r="M214" s="36" t="s">
        <v>3740</v>
      </c>
      <c r="N214" s="6" t="s">
        <v>3738</v>
      </c>
      <c r="O214" s="6" t="s">
        <v>587</v>
      </c>
      <c r="P214" s="215" t="s">
        <v>3244</v>
      </c>
      <c r="Q214" s="41" t="n">
        <f aca="false">Arch!E13</f>
        <v>16</v>
      </c>
      <c r="R214" s="36" t="s">
        <v>587</v>
      </c>
      <c r="S214" s="35" t="str">
        <f aca="false">IF(ISNUMBER($AF214),INDEX(IDX_SrcStat,$AF214),"—")</f>
        <v>—</v>
      </c>
      <c r="T214" s="35" t="str">
        <f aca="false">IF(ISNUMBER($AF214),INDEX(IDX_SrcGrade,$AF214),"—")</f>
        <v>—</v>
      </c>
      <c r="U214" s="35" t="s">
        <v>3189</v>
      </c>
      <c r="V214" s="186" t="n">
        <f aca="false">IF(AND($F214="原始數據",$U214&lt;&gt;"連結 SRC"),1,0)</f>
        <v>0</v>
      </c>
      <c r="W214" s="186" t="n">
        <f aca="false">IF(AND($F214="Analogy",OR($H214="—",$H214="")),1,0)</f>
        <v>0</v>
      </c>
      <c r="X214" s="186" t="n">
        <f aca="false">IF(AND(OR($F214="Analogy",$F214="Assumed"),$G214&lt;&gt;"低",$G214&lt;&gt;"高",NOT(ISNUMBER($K214)),NOT(ISNUMBER($L214)),OR($M214="—",$M214="")),1,0)</f>
        <v>0</v>
      </c>
      <c r="Y214" s="186" t="n">
        <f aca="false">IF(AND(OR($F214="Analogy",$F214="Assumed",$F214="Derived（待改公式）",$F214="Derived（公式）"),OR($N214="—",$N214="",$N214=0)),1,0)</f>
        <v>0</v>
      </c>
      <c r="Z214" s="186" t="n">
        <f aca="false">IF(AND($F214="Decision",OR($J214="—",$J214="")),1,0)</f>
        <v>0</v>
      </c>
      <c r="AA214" s="183" t="n">
        <f aca="false">IF(OR($J214="—",$J214=""),0,IF(COUNTIF(Decisions!$A$5:$A$300,$J214)=0,1,0))</f>
        <v>0</v>
      </c>
      <c r="AB214" s="186" t="n">
        <f aca="false">IF(AND($F214="原始數據",$S214&lt;&gt;"Active"),1,0)</f>
        <v>0</v>
      </c>
      <c r="AC214" s="186" t="n">
        <f aca="false">IF(AND(ISNUMBER($K214),ISNUMBER($L214),ISNUMBER($Q214)),IF(OR($Q214&lt;MIN($K214,$L214),$Q214&gt;MAX($K214,$L214)),1,0),0)</f>
        <v>0</v>
      </c>
      <c r="AD214" s="186" t="n">
        <f aca="false">IF(AND(ISNUMBER($T214),$P214="高"),IF($T214=3,1,0),0)</f>
        <v>0</v>
      </c>
      <c r="AE214" s="186" t="n">
        <f aca="false">IF($S214="不存在",1,0)</f>
        <v>0</v>
      </c>
      <c r="AF214" s="35" t="str">
        <f aca="false">IF(OR($H214="—",$H214=""),"—",MATCH($H214,IDX_SrcID,0))</f>
        <v>—</v>
      </c>
      <c r="AG214" s="104" t="n">
        <f aca="false">IF(AND($P214="高",OR($AD214=1,$X214=1)),1,0)</f>
        <v>0</v>
      </c>
      <c r="AH214" s="104" t="n">
        <f aca="false">IF(AND($P214="高",$AG214=0,OR($F214&lt;&gt;"原始數據",$T214&lt;&gt;1)),1,0)</f>
        <v>0</v>
      </c>
      <c r="AI214" s="53" t="str">
        <f aca="false">IF(AND($P214="高",ISNUMBER($AF214)),INDEX(IDX_SrcDate,$AF214),"—")</f>
        <v>—</v>
      </c>
      <c r="AJ214" s="104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6" t="s">
        <v>3741</v>
      </c>
      <c r="B215" s="215" t="s">
        <v>3183</v>
      </c>
      <c r="C215" s="36" t="s">
        <v>3661</v>
      </c>
      <c r="D215" s="36" t="s">
        <v>3742</v>
      </c>
      <c r="E215" s="6" t="s">
        <v>253</v>
      </c>
      <c r="F215" s="36" t="s">
        <v>80</v>
      </c>
      <c r="G215" s="215" t="s">
        <v>3185</v>
      </c>
      <c r="H215" s="36" t="s">
        <v>587</v>
      </c>
      <c r="I215" s="6" t="s">
        <v>587</v>
      </c>
      <c r="J215" s="36" t="s">
        <v>587</v>
      </c>
      <c r="K215" s="217" t="n">
        <v>128000</v>
      </c>
      <c r="L215" s="217" t="n">
        <v>262144</v>
      </c>
      <c r="M215" s="36" t="s">
        <v>3743</v>
      </c>
      <c r="N215" s="6" t="s">
        <v>3731</v>
      </c>
      <c r="O215" s="6" t="s">
        <v>587</v>
      </c>
      <c r="P215" s="215" t="s">
        <v>3188</v>
      </c>
      <c r="Q215" s="41" t="n">
        <f aca="false">Arch!E15</f>
        <v>200000</v>
      </c>
      <c r="R215" s="36" t="s">
        <v>587</v>
      </c>
      <c r="S215" s="35" t="str">
        <f aca="false">IF(ISNUMBER($AF215),INDEX(IDX_SrcStat,$AF215),"—")</f>
        <v>—</v>
      </c>
      <c r="T215" s="35" t="str">
        <f aca="false">IF(ISNUMBER($AF215),INDEX(IDX_SrcGrade,$AF215),"—")</f>
        <v>—</v>
      </c>
      <c r="U215" s="35" t="s">
        <v>3189</v>
      </c>
      <c r="V215" s="186" t="n">
        <f aca="false">IF(AND($F215="原始數據",$U215&lt;&gt;"連結 SRC"),1,0)</f>
        <v>0</v>
      </c>
      <c r="W215" s="186" t="n">
        <f aca="false">IF(AND($F215="Analogy",OR($H215="—",$H215="")),1,0)</f>
        <v>0</v>
      </c>
      <c r="X215" s="186" t="n">
        <f aca="false">IF(AND(OR($F215="Analogy",$F215="Assumed"),$G215&lt;&gt;"低",$G215&lt;&gt;"高",NOT(ISNUMBER($K215)),NOT(ISNUMBER($L215)),OR($M215="—",$M215="")),1,0)</f>
        <v>0</v>
      </c>
      <c r="Y215" s="186" t="n">
        <f aca="false">IF(AND(OR($F215="Analogy",$F215="Assumed",$F215="Derived（待改公式）",$F215="Derived（公式）"),OR($N215="—",$N215="",$N215=0)),1,0)</f>
        <v>0</v>
      </c>
      <c r="Z215" s="186" t="n">
        <f aca="false">IF(AND($F215="Decision",OR($J215="—",$J215="")),1,0)</f>
        <v>0</v>
      </c>
      <c r="AA215" s="183" t="n">
        <f aca="false">IF(OR($J215="—",$J215=""),0,IF(COUNTIF(Decisions!$A$5:$A$300,$J215)=0,1,0))</f>
        <v>0</v>
      </c>
      <c r="AB215" s="186" t="n">
        <f aca="false">IF(AND($F215="原始數據",$S215&lt;&gt;"Active"),1,0)</f>
        <v>0</v>
      </c>
      <c r="AC215" s="186" t="n">
        <f aca="false">IF(AND(ISNUMBER($K215),ISNUMBER($L215),ISNUMBER($Q215)),IF(OR($Q215&lt;MIN($K215,$L215),$Q215&gt;MAX($K215,$L215)),1,0),0)</f>
        <v>0</v>
      </c>
      <c r="AD215" s="186" t="n">
        <f aca="false">IF(AND(ISNUMBER($T215),$P215="高"),IF($T215=3,1,0),0)</f>
        <v>0</v>
      </c>
      <c r="AE215" s="186" t="n">
        <f aca="false">IF($S215="不存在",1,0)</f>
        <v>0</v>
      </c>
      <c r="AF215" s="35" t="str">
        <f aca="false">IF(OR($H215="—",$H215=""),"—",MATCH($H215,IDX_SrcID,0))</f>
        <v>—</v>
      </c>
      <c r="AG215" s="104" t="n">
        <f aca="false">IF(AND($P215="高",OR($AD215=1,$X215=1)),1,0)</f>
        <v>0</v>
      </c>
      <c r="AH215" s="104" t="n">
        <f aca="false">IF(AND($P215="高",$AG215=0,OR($F215&lt;&gt;"原始數據",$T215&lt;&gt;1)),1,0)</f>
        <v>0</v>
      </c>
      <c r="AI215" s="53" t="str">
        <f aca="false">IF(AND($P215="高",ISNUMBER($AF215)),INDEX(IDX_SrcDate,$AF215),"—")</f>
        <v>—</v>
      </c>
      <c r="AJ215" s="104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6" t="s">
        <v>3744</v>
      </c>
      <c r="B216" s="215" t="s">
        <v>3183</v>
      </c>
      <c r="C216" s="36" t="s">
        <v>3661</v>
      </c>
      <c r="D216" s="36" t="s">
        <v>3224</v>
      </c>
      <c r="E216" s="6" t="s">
        <v>252</v>
      </c>
      <c r="F216" s="36" t="s">
        <v>80</v>
      </c>
      <c r="G216" s="215" t="s">
        <v>3185</v>
      </c>
      <c r="H216" s="36" t="s">
        <v>587</v>
      </c>
      <c r="I216" s="6" t="s">
        <v>587</v>
      </c>
      <c r="J216" s="36" t="s">
        <v>587</v>
      </c>
      <c r="K216" s="215"/>
      <c r="L216" s="215"/>
      <c r="M216" s="215" t="s">
        <v>3102</v>
      </c>
      <c r="N216" s="6" t="s">
        <v>3745</v>
      </c>
      <c r="O216" s="6" t="s">
        <v>587</v>
      </c>
      <c r="P216" s="215" t="s">
        <v>1115</v>
      </c>
      <c r="Q216" s="41" t="n">
        <f aca="false">Arch!E14</f>
        <v>1</v>
      </c>
      <c r="R216" s="36" t="s">
        <v>587</v>
      </c>
      <c r="S216" s="35" t="str">
        <f aca="false">IF(ISNUMBER($AF216),INDEX(IDX_SrcStat,$AF216),"—")</f>
        <v>—</v>
      </c>
      <c r="T216" s="35" t="str">
        <f aca="false">IF(ISNUMBER($AF216),INDEX(IDX_SrcGrade,$AF216),"—")</f>
        <v>—</v>
      </c>
      <c r="U216" s="35" t="s">
        <v>3189</v>
      </c>
      <c r="V216" s="186" t="n">
        <f aca="false">IF(AND($F216="原始數據",$U216&lt;&gt;"連結 SRC"),1,0)</f>
        <v>0</v>
      </c>
      <c r="W216" s="186" t="n">
        <f aca="false">IF(AND($F216="Analogy",OR($H216="—",$H216="")),1,0)</f>
        <v>0</v>
      </c>
      <c r="X216" s="186" t="n">
        <f aca="false">IF(AND(OR($F216="Analogy",$F216="Assumed"),$G216&lt;&gt;"低",$G216&lt;&gt;"高",NOT(ISNUMBER($K216)),NOT(ISNUMBER($L216)),OR($M216="—",$M216="")),1,0)</f>
        <v>0</v>
      </c>
      <c r="Y216" s="186" t="n">
        <f aca="false">IF(AND(OR($F216="Analogy",$F216="Assumed",$F216="Derived（待改公式）",$F216="Derived（公式）"),OR($N216="—",$N216="",$N216=0)),1,0)</f>
        <v>0</v>
      </c>
      <c r="Z216" s="186" t="n">
        <f aca="false">IF(AND($F216="Decision",OR($J216="—",$J216="")),1,0)</f>
        <v>0</v>
      </c>
      <c r="AA216" s="183" t="n">
        <f aca="false">IF(OR($J216="—",$J216=""),0,IF(COUNTIF(Decisions!$A$5:$A$300,$J216)=0,1,0))</f>
        <v>0</v>
      </c>
      <c r="AB216" s="186" t="n">
        <f aca="false">IF(AND($F216="原始數據",$S216&lt;&gt;"Active"),1,0)</f>
        <v>0</v>
      </c>
      <c r="AC216" s="186" t="n">
        <f aca="false">IF(AND(ISNUMBER($K216),ISNUMBER($L216),ISNUMBER($Q216)),IF(OR($Q216&lt;MIN($K216,$L216),$Q216&gt;MAX($K216,$L216)),1,0),0)</f>
        <v>0</v>
      </c>
      <c r="AD216" s="186" t="n">
        <f aca="false">IF(AND(ISNUMBER($T216),$P216="高"),IF($T216=3,1,0),0)</f>
        <v>0</v>
      </c>
      <c r="AE216" s="186" t="n">
        <f aca="false">IF($S216="不存在",1,0)</f>
        <v>0</v>
      </c>
      <c r="AF216" s="35" t="str">
        <f aca="false">IF(OR($H216="—",$H216=""),"—",MATCH($H216,IDX_SrcID,0))</f>
        <v>—</v>
      </c>
      <c r="AG216" s="104" t="n">
        <f aca="false">IF(AND($P216="高",OR($AD216=1,$X216=1)),1,0)</f>
        <v>0</v>
      </c>
      <c r="AH216" s="104" t="n">
        <f aca="false">IF(AND($P216="高",$AG216=0,OR($F216&lt;&gt;"原始數據",$T216&lt;&gt;1)),1,0)</f>
        <v>0</v>
      </c>
      <c r="AI216" s="53" t="str">
        <f aca="false">IF(AND($P216="高",ISNUMBER($AF216)),INDEX(IDX_SrcDate,$AF216),"—")</f>
        <v>—</v>
      </c>
      <c r="AJ216" s="104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6" t="s">
        <v>3746</v>
      </c>
      <c r="B217" s="215" t="s">
        <v>3183</v>
      </c>
      <c r="C217" s="36" t="s">
        <v>3661</v>
      </c>
      <c r="D217" s="36" t="s">
        <v>3230</v>
      </c>
      <c r="E217" s="19" t="s">
        <v>254</v>
      </c>
      <c r="F217" s="36" t="s">
        <v>80</v>
      </c>
      <c r="G217" s="215" t="s">
        <v>3185</v>
      </c>
      <c r="H217" s="36" t="s">
        <v>587</v>
      </c>
      <c r="I217" s="6" t="s">
        <v>587</v>
      </c>
      <c r="J217" s="36" t="s">
        <v>587</v>
      </c>
      <c r="K217" s="215"/>
      <c r="L217" s="215"/>
      <c r="M217" s="215" t="s">
        <v>3102</v>
      </c>
      <c r="N217" s="6" t="s">
        <v>3747</v>
      </c>
      <c r="O217" s="6" t="s">
        <v>587</v>
      </c>
      <c r="P217" s="215" t="s">
        <v>3244</v>
      </c>
      <c r="Q217" s="177" t="n">
        <f aca="false">Arch!E16</f>
        <v>1</v>
      </c>
      <c r="R217" s="36" t="s">
        <v>587</v>
      </c>
      <c r="S217" s="35" t="str">
        <f aca="false">IF(ISNUMBER($AF217),INDEX(IDX_SrcStat,$AF217),"—")</f>
        <v>—</v>
      </c>
      <c r="T217" s="35" t="str">
        <f aca="false">IF(ISNUMBER($AF217),INDEX(IDX_SrcGrade,$AF217),"—")</f>
        <v>—</v>
      </c>
      <c r="U217" s="35" t="s">
        <v>3189</v>
      </c>
      <c r="V217" s="186" t="n">
        <f aca="false">IF(AND($F217="原始數據",$U217&lt;&gt;"連結 SRC"),1,0)</f>
        <v>0</v>
      </c>
      <c r="W217" s="186" t="n">
        <f aca="false">IF(AND($F217="Analogy",OR($H217="—",$H217="")),1,0)</f>
        <v>0</v>
      </c>
      <c r="X217" s="186" t="n">
        <f aca="false">IF(AND(OR($F217="Analogy",$F217="Assumed"),$G217&lt;&gt;"低",$G217&lt;&gt;"高",NOT(ISNUMBER($K217)),NOT(ISNUMBER($L217)),OR($M217="—",$M217="")),1,0)</f>
        <v>0</v>
      </c>
      <c r="Y217" s="186" t="n">
        <f aca="false">IF(AND(OR($F217="Analogy",$F217="Assumed",$F217="Derived（待改公式）",$F217="Derived（公式）"),OR($N217="—",$N217="",$N217=0)),1,0)</f>
        <v>0</v>
      </c>
      <c r="Z217" s="186" t="n">
        <f aca="false">IF(AND($F217="Decision",OR($J217="—",$J217="")),1,0)</f>
        <v>0</v>
      </c>
      <c r="AA217" s="183" t="n">
        <f aca="false">IF(OR($J217="—",$J217=""),0,IF(COUNTIF(Decisions!$A$5:$A$300,$J217)=0,1,0))</f>
        <v>0</v>
      </c>
      <c r="AB217" s="186" t="n">
        <f aca="false">IF(AND($F217="原始數據",$S217&lt;&gt;"Active"),1,0)</f>
        <v>0</v>
      </c>
      <c r="AC217" s="186" t="n">
        <f aca="false">IF(AND(ISNUMBER($K217),ISNUMBER($L217),ISNUMBER($Q217)),IF(OR($Q217&lt;MIN($K217,$L217),$Q217&gt;MAX($K217,$L217)),1,0),0)</f>
        <v>0</v>
      </c>
      <c r="AD217" s="186" t="n">
        <f aca="false">IF(AND(ISNUMBER($T217),$P217="高"),IF($T217=3,1,0),0)</f>
        <v>0</v>
      </c>
      <c r="AE217" s="186" t="n">
        <f aca="false">IF($S217="不存在",1,0)</f>
        <v>0</v>
      </c>
      <c r="AF217" s="35" t="str">
        <f aca="false">IF(OR($H217="—",$H217=""),"—",MATCH($H217,IDX_SrcID,0))</f>
        <v>—</v>
      </c>
      <c r="AG217" s="104" t="n">
        <f aca="false">IF(AND($P217="高",OR($AD217=1,$X217=1)),1,0)</f>
        <v>0</v>
      </c>
      <c r="AH217" s="104" t="n">
        <f aca="false">IF(AND($P217="高",$AG217=0,OR($F217&lt;&gt;"原始數據",$T217&lt;&gt;1)),1,0)</f>
        <v>0</v>
      </c>
      <c r="AI217" s="53" t="str">
        <f aca="false">IF(AND($P217="高",ISNUMBER($AF217)),INDEX(IDX_SrcDate,$AF217),"—")</f>
        <v>—</v>
      </c>
      <c r="AJ217" s="104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6" t="s">
        <v>3748</v>
      </c>
      <c r="B218" s="215" t="s">
        <v>3183</v>
      </c>
      <c r="C218" s="36" t="s">
        <v>3661</v>
      </c>
      <c r="D218" s="36" t="s">
        <v>3236</v>
      </c>
      <c r="E218" s="19" t="s">
        <v>3719</v>
      </c>
      <c r="F218" s="36" t="s">
        <v>80</v>
      </c>
      <c r="G218" s="215" t="s">
        <v>3185</v>
      </c>
      <c r="H218" s="36" t="s">
        <v>587</v>
      </c>
      <c r="I218" s="6" t="s">
        <v>587</v>
      </c>
      <c r="J218" s="36" t="s">
        <v>587</v>
      </c>
      <c r="K218" s="215"/>
      <c r="L218" s="215"/>
      <c r="M218" s="215" t="s">
        <v>3102</v>
      </c>
      <c r="N218" s="6" t="s">
        <v>3749</v>
      </c>
      <c r="O218" s="6" t="s">
        <v>587</v>
      </c>
      <c r="P218" s="215" t="s">
        <v>3188</v>
      </c>
      <c r="Q218" s="41" t="n">
        <f aca="false">Arch!E17</f>
        <v>0</v>
      </c>
      <c r="R218" s="36" t="s">
        <v>587</v>
      </c>
      <c r="S218" s="35" t="str">
        <f aca="false">IF(ISNUMBER($AF218),INDEX(IDX_SrcStat,$AF218),"—")</f>
        <v>—</v>
      </c>
      <c r="T218" s="35" t="str">
        <f aca="false">IF(ISNUMBER($AF218),INDEX(IDX_SrcGrade,$AF218),"—")</f>
        <v>—</v>
      </c>
      <c r="U218" s="35" t="s">
        <v>3189</v>
      </c>
      <c r="V218" s="186" t="n">
        <f aca="false">IF(AND($F218="原始數據",$U218&lt;&gt;"連結 SRC"),1,0)</f>
        <v>0</v>
      </c>
      <c r="W218" s="186" t="n">
        <f aca="false">IF(AND($F218="Analogy",OR($H218="—",$H218="")),1,0)</f>
        <v>0</v>
      </c>
      <c r="X218" s="186" t="n">
        <f aca="false">IF(AND(OR($F218="Analogy",$F218="Assumed"),$G218&lt;&gt;"低",$G218&lt;&gt;"高",NOT(ISNUMBER($K218)),NOT(ISNUMBER($L218)),OR($M218="—",$M218="")),1,0)</f>
        <v>0</v>
      </c>
      <c r="Y218" s="186" t="n">
        <f aca="false">IF(AND(OR($F218="Analogy",$F218="Assumed",$F218="Derived（待改公式）",$F218="Derived（公式）"),OR($N218="—",$N218="",$N218=0)),1,0)</f>
        <v>0</v>
      </c>
      <c r="Z218" s="186" t="n">
        <f aca="false">IF(AND($F218="Decision",OR($J218="—",$J218="")),1,0)</f>
        <v>0</v>
      </c>
      <c r="AA218" s="183" t="n">
        <f aca="false">IF(OR($J218="—",$J218=""),0,IF(COUNTIF(Decisions!$A$5:$A$300,$J218)=0,1,0))</f>
        <v>0</v>
      </c>
      <c r="AB218" s="186" t="n">
        <f aca="false">IF(AND($F218="原始數據",$S218&lt;&gt;"Active"),1,0)</f>
        <v>0</v>
      </c>
      <c r="AC218" s="186" t="n">
        <f aca="false">IF(AND(ISNUMBER($K218),ISNUMBER($L218),ISNUMBER($Q218)),IF(OR($Q218&lt;MIN($K218,$L218),$Q218&gt;MAX($K218,$L218)),1,0),0)</f>
        <v>0</v>
      </c>
      <c r="AD218" s="186" t="n">
        <f aca="false">IF(AND(ISNUMBER($T218),$P218="高"),IF($T218=3,1,0),0)</f>
        <v>0</v>
      </c>
      <c r="AE218" s="186" t="n">
        <f aca="false">IF($S218="不存在",1,0)</f>
        <v>0</v>
      </c>
      <c r="AF218" s="35" t="str">
        <f aca="false">IF(OR($H218="—",$H218=""),"—",MATCH($H218,IDX_SrcID,0))</f>
        <v>—</v>
      </c>
      <c r="AG218" s="104" t="n">
        <f aca="false">IF(AND($P218="高",OR($AD218=1,$X218=1)),1,0)</f>
        <v>0</v>
      </c>
      <c r="AH218" s="104" t="n">
        <f aca="false">IF(AND($P218="高",$AG218=0,OR($F218&lt;&gt;"原始數據",$T218&lt;&gt;1)),1,0)</f>
        <v>0</v>
      </c>
      <c r="AI218" s="53" t="str">
        <f aca="false">IF(AND($P218="高",ISNUMBER($AF218)),INDEX(IDX_SrcDate,$AF218),"—")</f>
        <v>—</v>
      </c>
      <c r="AJ218" s="104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6" t="s">
        <v>3750</v>
      </c>
      <c r="B219" s="215" t="s">
        <v>3183</v>
      </c>
      <c r="C219" s="36" t="s">
        <v>3661</v>
      </c>
      <c r="D219" s="36" t="s">
        <v>3242</v>
      </c>
      <c r="E219" s="19" t="s">
        <v>260</v>
      </c>
      <c r="F219" s="36" t="s">
        <v>80</v>
      </c>
      <c r="G219" s="215" t="s">
        <v>3185</v>
      </c>
      <c r="H219" s="36" t="s">
        <v>587</v>
      </c>
      <c r="I219" s="6" t="s">
        <v>587</v>
      </c>
      <c r="J219" s="36" t="s">
        <v>587</v>
      </c>
      <c r="K219" s="215"/>
      <c r="L219" s="215"/>
      <c r="M219" s="215" t="s">
        <v>3102</v>
      </c>
      <c r="N219" s="6" t="s">
        <v>3751</v>
      </c>
      <c r="O219" s="6" t="s">
        <v>587</v>
      </c>
      <c r="P219" s="215" t="s">
        <v>1115</v>
      </c>
      <c r="Q219" s="41" t="n">
        <f aca="false">Arch!E18</f>
        <v>1</v>
      </c>
      <c r="R219" s="36" t="s">
        <v>587</v>
      </c>
      <c r="S219" s="35" t="str">
        <f aca="false">IF(ISNUMBER($AF219),INDEX(IDX_SrcStat,$AF219),"—")</f>
        <v>—</v>
      </c>
      <c r="T219" s="35" t="str">
        <f aca="false">IF(ISNUMBER($AF219),INDEX(IDX_SrcGrade,$AF219),"—")</f>
        <v>—</v>
      </c>
      <c r="U219" s="35" t="s">
        <v>3189</v>
      </c>
      <c r="V219" s="186" t="n">
        <f aca="false">IF(AND($F219="原始數據",$U219&lt;&gt;"連結 SRC"),1,0)</f>
        <v>0</v>
      </c>
      <c r="W219" s="186" t="n">
        <f aca="false">IF(AND($F219="Analogy",OR($H219="—",$H219="")),1,0)</f>
        <v>0</v>
      </c>
      <c r="X219" s="186" t="n">
        <f aca="false">IF(AND(OR($F219="Analogy",$F219="Assumed"),$G219&lt;&gt;"低",$G219&lt;&gt;"高",NOT(ISNUMBER($K219)),NOT(ISNUMBER($L219)),OR($M219="—",$M219="")),1,0)</f>
        <v>0</v>
      </c>
      <c r="Y219" s="186" t="n">
        <f aca="false">IF(AND(OR($F219="Analogy",$F219="Assumed",$F219="Derived（待改公式）",$F219="Derived（公式）"),OR($N219="—",$N219="",$N219=0)),1,0)</f>
        <v>0</v>
      </c>
      <c r="Z219" s="186" t="n">
        <f aca="false">IF(AND($F219="Decision",OR($J219="—",$J219="")),1,0)</f>
        <v>0</v>
      </c>
      <c r="AA219" s="183" t="n">
        <f aca="false">IF(OR($J219="—",$J219=""),0,IF(COUNTIF(Decisions!$A$5:$A$300,$J219)=0,1,0))</f>
        <v>0</v>
      </c>
      <c r="AB219" s="186" t="n">
        <f aca="false">IF(AND($F219="原始數據",$S219&lt;&gt;"Active"),1,0)</f>
        <v>0</v>
      </c>
      <c r="AC219" s="186" t="n">
        <f aca="false">IF(AND(ISNUMBER($K219),ISNUMBER($L219),ISNUMBER($Q219)),IF(OR($Q219&lt;MIN($K219,$L219),$Q219&gt;MAX($K219,$L219)),1,0),0)</f>
        <v>0</v>
      </c>
      <c r="AD219" s="186" t="n">
        <f aca="false">IF(AND(ISNUMBER($T219),$P219="高"),IF($T219=3,1,0),0)</f>
        <v>0</v>
      </c>
      <c r="AE219" s="186" t="n">
        <f aca="false">IF($S219="不存在",1,0)</f>
        <v>0</v>
      </c>
      <c r="AF219" s="35" t="str">
        <f aca="false">IF(OR($H219="—",$H219=""),"—",MATCH($H219,IDX_SrcID,0))</f>
        <v>—</v>
      </c>
      <c r="AG219" s="104" t="n">
        <f aca="false">IF(AND($P219="高",OR($AD219=1,$X219=1)),1,0)</f>
        <v>0</v>
      </c>
      <c r="AH219" s="104" t="n">
        <f aca="false">IF(AND($P219="高",$AG219=0,OR($F219&lt;&gt;"原始數據",$T219&lt;&gt;1)),1,0)</f>
        <v>0</v>
      </c>
      <c r="AI219" s="53" t="str">
        <f aca="false">IF(AND($P219="高",ISNUMBER($AF219)),INDEX(IDX_SrcDate,$AF219),"—")</f>
        <v>—</v>
      </c>
      <c r="AJ219" s="104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6" t="s">
        <v>3752</v>
      </c>
      <c r="B220" s="215" t="s">
        <v>3183</v>
      </c>
      <c r="C220" s="36" t="s">
        <v>3661</v>
      </c>
      <c r="D220" s="36" t="s">
        <v>3250</v>
      </c>
      <c r="E220" s="19" t="s">
        <v>262</v>
      </c>
      <c r="F220" s="36" t="s">
        <v>80</v>
      </c>
      <c r="G220" s="215" t="s">
        <v>3185</v>
      </c>
      <c r="H220" s="36" t="s">
        <v>587</v>
      </c>
      <c r="I220" s="6" t="s">
        <v>587</v>
      </c>
      <c r="J220" s="36" t="s">
        <v>587</v>
      </c>
      <c r="K220" s="215"/>
      <c r="L220" s="215"/>
      <c r="M220" s="215" t="s">
        <v>3102</v>
      </c>
      <c r="N220" s="6" t="s">
        <v>3753</v>
      </c>
      <c r="O220" s="6" t="s">
        <v>587</v>
      </c>
      <c r="P220" s="215" t="s">
        <v>1115</v>
      </c>
      <c r="Q220" s="41" t="n">
        <f aca="false">Arch!E19</f>
        <v>0</v>
      </c>
      <c r="R220" s="36" t="s">
        <v>587</v>
      </c>
      <c r="S220" s="35" t="str">
        <f aca="false">IF(ISNUMBER($AF220),INDEX(IDX_SrcStat,$AF220),"—")</f>
        <v>—</v>
      </c>
      <c r="T220" s="35" t="str">
        <f aca="false">IF(ISNUMBER($AF220),INDEX(IDX_SrcGrade,$AF220),"—")</f>
        <v>—</v>
      </c>
      <c r="U220" s="35" t="s">
        <v>3189</v>
      </c>
      <c r="V220" s="186" t="n">
        <f aca="false">IF(AND($F220="原始數據",$U220&lt;&gt;"連結 SRC"),1,0)</f>
        <v>0</v>
      </c>
      <c r="W220" s="186" t="n">
        <f aca="false">IF(AND($F220="Analogy",OR($H220="—",$H220="")),1,0)</f>
        <v>0</v>
      </c>
      <c r="X220" s="186" t="n">
        <f aca="false">IF(AND(OR($F220="Analogy",$F220="Assumed"),$G220&lt;&gt;"低",$G220&lt;&gt;"高",NOT(ISNUMBER($K220)),NOT(ISNUMBER($L220)),OR($M220="—",$M220="")),1,0)</f>
        <v>0</v>
      </c>
      <c r="Y220" s="186" t="n">
        <f aca="false">IF(AND(OR($F220="Analogy",$F220="Assumed",$F220="Derived（待改公式）",$F220="Derived（公式）"),OR($N220="—",$N220="",$N220=0)),1,0)</f>
        <v>0</v>
      </c>
      <c r="Z220" s="186" t="n">
        <f aca="false">IF(AND($F220="Decision",OR($J220="—",$J220="")),1,0)</f>
        <v>0</v>
      </c>
      <c r="AA220" s="183" t="n">
        <f aca="false">IF(OR($J220="—",$J220=""),0,IF(COUNTIF(Decisions!$A$5:$A$300,$J220)=0,1,0))</f>
        <v>0</v>
      </c>
      <c r="AB220" s="186" t="n">
        <f aca="false">IF(AND($F220="原始數據",$S220&lt;&gt;"Active"),1,0)</f>
        <v>0</v>
      </c>
      <c r="AC220" s="186" t="n">
        <f aca="false">IF(AND(ISNUMBER($K220),ISNUMBER($L220),ISNUMBER($Q220)),IF(OR($Q220&lt;MIN($K220,$L220),$Q220&gt;MAX($K220,$L220)),1,0),0)</f>
        <v>0</v>
      </c>
      <c r="AD220" s="186" t="n">
        <f aca="false">IF(AND(ISNUMBER($T220),$P220="高"),IF($T220=3,1,0),0)</f>
        <v>0</v>
      </c>
      <c r="AE220" s="186" t="n">
        <f aca="false">IF($S220="不存在",1,0)</f>
        <v>0</v>
      </c>
      <c r="AF220" s="35" t="str">
        <f aca="false">IF(OR($H220="—",$H220=""),"—",MATCH($H220,IDX_SrcID,0))</f>
        <v>—</v>
      </c>
      <c r="AG220" s="104" t="n">
        <f aca="false">IF(AND($P220="高",OR($AD220=1,$X220=1)),1,0)</f>
        <v>0</v>
      </c>
      <c r="AH220" s="104" t="n">
        <f aca="false">IF(AND($P220="高",$AG220=0,OR($F220&lt;&gt;"原始數據",$T220&lt;&gt;1)),1,0)</f>
        <v>0</v>
      </c>
      <c r="AI220" s="53" t="str">
        <f aca="false">IF(AND($P220="高",ISNUMBER($AF220)),INDEX(IDX_SrcDate,$AF220),"—")</f>
        <v>—</v>
      </c>
      <c r="AJ220" s="104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6" t="s">
        <v>3754</v>
      </c>
      <c r="B221" s="215" t="s">
        <v>3183</v>
      </c>
      <c r="C221" s="36" t="s">
        <v>3661</v>
      </c>
      <c r="D221" s="36" t="s">
        <v>3256</v>
      </c>
      <c r="E221" s="6" t="s">
        <v>263</v>
      </c>
      <c r="F221" s="36" t="s">
        <v>72</v>
      </c>
      <c r="G221" s="215" t="s">
        <v>3185</v>
      </c>
      <c r="H221" s="36" t="s">
        <v>587</v>
      </c>
      <c r="I221" s="6" t="s">
        <v>587</v>
      </c>
      <c r="J221" s="36" t="s">
        <v>3755</v>
      </c>
      <c r="K221" s="215"/>
      <c r="L221" s="215"/>
      <c r="M221" s="36" t="s">
        <v>587</v>
      </c>
      <c r="N221" s="6" t="s">
        <v>3756</v>
      </c>
      <c r="O221" s="6" t="s">
        <v>587</v>
      </c>
      <c r="P221" s="215" t="s">
        <v>3188</v>
      </c>
      <c r="Q221" s="183" t="n">
        <f aca="false">Arch!E20</f>
        <v>2</v>
      </c>
      <c r="R221" s="36" t="s">
        <v>587</v>
      </c>
      <c r="S221" s="35" t="str">
        <f aca="false">IF(ISNUMBER($AF221),INDEX(IDX_SrcStat,$AF221),"—")</f>
        <v>—</v>
      </c>
      <c r="T221" s="35" t="str">
        <f aca="false">IF(ISNUMBER($AF221),INDEX(IDX_SrcGrade,$AF221),"—")</f>
        <v>—</v>
      </c>
      <c r="U221" s="35" t="s">
        <v>3189</v>
      </c>
      <c r="V221" s="186" t="n">
        <f aca="false">IF(AND($F221="原始數據",$U221&lt;&gt;"連結 SRC"),1,0)</f>
        <v>0</v>
      </c>
      <c r="W221" s="186" t="n">
        <f aca="false">IF(AND($F221="Analogy",OR($H221="—",$H221="")),1,0)</f>
        <v>0</v>
      </c>
      <c r="X221" s="186" t="n">
        <f aca="false">IF(AND(OR($F221="Analogy",$F221="Assumed"),$G221&lt;&gt;"低",$G221&lt;&gt;"高",NOT(ISNUMBER($K221)),NOT(ISNUMBER($L221)),OR($M221="—",$M221="")),1,0)</f>
        <v>0</v>
      </c>
      <c r="Y221" s="186" t="n">
        <f aca="false">IF(AND(OR($F221="Analogy",$F221="Assumed",$F221="Derived（待改公式）",$F221="Derived（公式）"),OR($N221="—",$N221="",$N221=0)),1,0)</f>
        <v>0</v>
      </c>
      <c r="Z221" s="186" t="n">
        <f aca="false">IF(AND($F221="Decision",OR($J221="—",$J221="")),1,0)</f>
        <v>0</v>
      </c>
      <c r="AA221" s="183" t="n">
        <f aca="false">IF(OR($J221="—",$J221=""),0,IF(COUNTIF(Decisions!$A$5:$A$300,$J221)=0,1,0))</f>
        <v>0</v>
      </c>
      <c r="AB221" s="186" t="n">
        <f aca="false">IF(AND($F221="原始數據",$S221&lt;&gt;"Active"),1,0)</f>
        <v>0</v>
      </c>
      <c r="AC221" s="186" t="n">
        <f aca="false">IF(AND(ISNUMBER($K221),ISNUMBER($L221),ISNUMBER($Q221)),IF(OR($Q221&lt;MIN($K221,$L221),$Q221&gt;MAX($K221,$L221)),1,0),0)</f>
        <v>0</v>
      </c>
      <c r="AD221" s="186" t="n">
        <f aca="false">IF(AND(ISNUMBER($T221),$P221="高"),IF($T221=3,1,0),0)</f>
        <v>0</v>
      </c>
      <c r="AE221" s="186" t="n">
        <f aca="false">IF($S221="不存在",1,0)</f>
        <v>0</v>
      </c>
      <c r="AF221" s="35" t="str">
        <f aca="false">IF(OR($H221="—",$H221=""),"—",MATCH($H221,IDX_SrcID,0))</f>
        <v>—</v>
      </c>
      <c r="AG221" s="104" t="n">
        <f aca="false">IF(AND($P221="高",OR($AD221=1,$X221=1)),1,0)</f>
        <v>0</v>
      </c>
      <c r="AH221" s="104" t="n">
        <f aca="false">IF(AND($P221="高",$AG221=0,OR($F221&lt;&gt;"原始數據",$T221&lt;&gt;1)),1,0)</f>
        <v>0</v>
      </c>
      <c r="AI221" s="53" t="str">
        <f aca="false">IF(AND($P221="高",ISNUMBER($AF221)),INDEX(IDX_SrcDate,$AF221),"—")</f>
        <v>—</v>
      </c>
      <c r="AJ221" s="104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6" t="s">
        <v>3757</v>
      </c>
      <c r="B222" s="215" t="s">
        <v>3183</v>
      </c>
      <c r="C222" s="36" t="s">
        <v>3661</v>
      </c>
      <c r="D222" s="36" t="s">
        <v>3758</v>
      </c>
      <c r="E222" s="6" t="s">
        <v>265</v>
      </c>
      <c r="F222" s="36" t="s">
        <v>3471</v>
      </c>
      <c r="G222" s="215" t="s">
        <v>3185</v>
      </c>
      <c r="H222" s="36" t="s">
        <v>587</v>
      </c>
      <c r="I222" s="6" t="s">
        <v>587</v>
      </c>
      <c r="J222" s="36" t="s">
        <v>587</v>
      </c>
      <c r="K222" s="215"/>
      <c r="L222" s="215"/>
      <c r="M222" s="36" t="s">
        <v>587</v>
      </c>
      <c r="N222" s="220" t="s">
        <v>3759</v>
      </c>
      <c r="O222" s="6" t="s">
        <v>587</v>
      </c>
      <c r="P222" s="215" t="s">
        <v>3188</v>
      </c>
      <c r="Q222" s="41" t="n">
        <f aca="false">Arch!C21</f>
        <v>2795</v>
      </c>
      <c r="R222" s="36" t="s">
        <v>587</v>
      </c>
      <c r="S222" s="35" t="str">
        <f aca="false">IF(ISNUMBER($AF222),INDEX(IDX_SrcStat,$AF222),"—")</f>
        <v>—</v>
      </c>
      <c r="T222" s="35" t="str">
        <f aca="false">IF(ISNUMBER($AF222),INDEX(IDX_SrcGrade,$AF222),"—")</f>
        <v>—</v>
      </c>
      <c r="U222" s="35" t="s">
        <v>3418</v>
      </c>
      <c r="V222" s="186" t="n">
        <f aca="false">IF(AND($F222="原始數據",$U222&lt;&gt;"連結 SRC"),1,0)</f>
        <v>0</v>
      </c>
      <c r="W222" s="186" t="n">
        <f aca="false">IF(AND($F222="Analogy",OR($H222="—",$H222="")),1,0)</f>
        <v>0</v>
      </c>
      <c r="X222" s="186" t="n">
        <f aca="false">IF(AND(OR($F222="Analogy",$F222="Assumed"),$G222&lt;&gt;"低",$G222&lt;&gt;"高",NOT(ISNUMBER($K222)),NOT(ISNUMBER($L222)),OR($M222="—",$M222="")),1,0)</f>
        <v>0</v>
      </c>
      <c r="Y222" s="186" t="n">
        <f aca="false">IF(AND(OR($F222="Analogy",$F222="Assumed",$F222="Derived（待改公式）",$F222="Derived（公式）"),OR($N222="—",$N222="",$N222=0)),1,0)</f>
        <v>0</v>
      </c>
      <c r="Z222" s="186" t="n">
        <f aca="false">IF(AND($F222="Decision",OR($J222="—",$J222="")),1,0)</f>
        <v>0</v>
      </c>
      <c r="AA222" s="183" t="n">
        <f aca="false">IF(OR($J222="—",$J222=""),0,IF(COUNTIF(Decisions!$A$5:$A$300,$J222)=0,1,0))</f>
        <v>0</v>
      </c>
      <c r="AB222" s="186" t="n">
        <f aca="false">IF(AND($F222="原始數據",$S222&lt;&gt;"Active"),1,0)</f>
        <v>0</v>
      </c>
      <c r="AC222" s="186" t="n">
        <f aca="false">IF(AND(ISNUMBER($K222),ISNUMBER($L222),ISNUMBER($Q222)),IF(OR($Q222&lt;MIN($K222,$L222),$Q222&gt;MAX($K222,$L222)),1,0),0)</f>
        <v>0</v>
      </c>
      <c r="AD222" s="186" t="n">
        <f aca="false">IF(AND(ISNUMBER($T222),$P222="高"),IF($T222=3,1,0),0)</f>
        <v>0</v>
      </c>
      <c r="AE222" s="186" t="n">
        <f aca="false">IF($S222="不存在",1,0)</f>
        <v>0</v>
      </c>
      <c r="AF222" s="35" t="str">
        <f aca="false">IF(OR($H222="—",$H222=""),"—",MATCH($H222,IDX_SrcID,0))</f>
        <v>—</v>
      </c>
      <c r="AG222" s="104" t="n">
        <f aca="false">IF(AND($P222="高",OR($AD222=1,$X222=1)),1,0)</f>
        <v>0</v>
      </c>
      <c r="AH222" s="104" t="n">
        <f aca="false">IF(AND($P222="高",$AG222=0,OR($F222&lt;&gt;"原始數據",$T222&lt;&gt;1)),1,0)</f>
        <v>0</v>
      </c>
      <c r="AI222" s="53" t="str">
        <f aca="false">IF(AND($P222="高",ISNUMBER($AF222)),INDEX(IDX_SrcDate,$AF222),"—")</f>
        <v>—</v>
      </c>
      <c r="AJ222" s="104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6" t="s">
        <v>3760</v>
      </c>
      <c r="B223" s="215" t="s">
        <v>3183</v>
      </c>
      <c r="C223" s="36" t="s">
        <v>3661</v>
      </c>
      <c r="D223" s="36" t="s">
        <v>3266</v>
      </c>
      <c r="E223" s="6" t="s">
        <v>265</v>
      </c>
      <c r="F223" s="36" t="s">
        <v>3471</v>
      </c>
      <c r="G223" s="215" t="s">
        <v>3185</v>
      </c>
      <c r="H223" s="36" t="s">
        <v>587</v>
      </c>
      <c r="I223" s="6" t="s">
        <v>587</v>
      </c>
      <c r="J223" s="36" t="s">
        <v>587</v>
      </c>
      <c r="K223" s="215"/>
      <c r="L223" s="215"/>
      <c r="M223" s="36" t="s">
        <v>587</v>
      </c>
      <c r="N223" s="220" t="s">
        <v>3759</v>
      </c>
      <c r="O223" s="6" t="s">
        <v>587</v>
      </c>
      <c r="P223" s="215" t="s">
        <v>3188</v>
      </c>
      <c r="Q223" s="41" t="n">
        <f aca="false">Arch!D21</f>
        <v>3965</v>
      </c>
      <c r="R223" s="36" t="s">
        <v>587</v>
      </c>
      <c r="S223" s="35" t="str">
        <f aca="false">IF(ISNUMBER($AF223),INDEX(IDX_SrcStat,$AF223),"—")</f>
        <v>—</v>
      </c>
      <c r="T223" s="35" t="str">
        <f aca="false">IF(ISNUMBER($AF223),INDEX(IDX_SrcGrade,$AF223),"—")</f>
        <v>—</v>
      </c>
      <c r="U223" s="35" t="s">
        <v>3418</v>
      </c>
      <c r="V223" s="186" t="n">
        <f aca="false">IF(AND($F223="原始數據",$U223&lt;&gt;"連結 SRC"),1,0)</f>
        <v>0</v>
      </c>
      <c r="W223" s="186" t="n">
        <f aca="false">IF(AND($F223="Analogy",OR($H223="—",$H223="")),1,0)</f>
        <v>0</v>
      </c>
      <c r="X223" s="186" t="n">
        <f aca="false">IF(AND(OR($F223="Analogy",$F223="Assumed"),$G223&lt;&gt;"低",$G223&lt;&gt;"高",NOT(ISNUMBER($K223)),NOT(ISNUMBER($L223)),OR($M223="—",$M223="")),1,0)</f>
        <v>0</v>
      </c>
      <c r="Y223" s="186" t="n">
        <f aca="false">IF(AND(OR($F223="Analogy",$F223="Assumed",$F223="Derived（待改公式）",$F223="Derived（公式）"),OR($N223="—",$N223="",$N223=0)),1,0)</f>
        <v>0</v>
      </c>
      <c r="Z223" s="186" t="n">
        <f aca="false">IF(AND($F223="Decision",OR($J223="—",$J223="")),1,0)</f>
        <v>0</v>
      </c>
      <c r="AA223" s="183" t="n">
        <f aca="false">IF(OR($J223="—",$J223=""),0,IF(COUNTIF(Decisions!$A$5:$A$300,$J223)=0,1,0))</f>
        <v>0</v>
      </c>
      <c r="AB223" s="186" t="n">
        <f aca="false">IF(AND($F223="原始數據",$S223&lt;&gt;"Active"),1,0)</f>
        <v>0</v>
      </c>
      <c r="AC223" s="186" t="n">
        <f aca="false">IF(AND(ISNUMBER($K223),ISNUMBER($L223),ISNUMBER($Q223)),IF(OR($Q223&lt;MIN($K223,$L223),$Q223&gt;MAX($K223,$L223)),1,0),0)</f>
        <v>0</v>
      </c>
      <c r="AD223" s="186" t="n">
        <f aca="false">IF(AND(ISNUMBER($T223),$P223="高"),IF($T223=3,1,0),0)</f>
        <v>0</v>
      </c>
      <c r="AE223" s="186" t="n">
        <f aca="false">IF($S223="不存在",1,0)</f>
        <v>0</v>
      </c>
      <c r="AF223" s="35" t="str">
        <f aca="false">IF(OR($H223="—",$H223=""),"—",MATCH($H223,IDX_SrcID,0))</f>
        <v>—</v>
      </c>
      <c r="AG223" s="104" t="n">
        <f aca="false">IF(AND($P223="高",OR($AD223=1,$X223=1)),1,0)</f>
        <v>0</v>
      </c>
      <c r="AH223" s="104" t="n">
        <f aca="false">IF(AND($P223="高",$AG223=0,OR($F223&lt;&gt;"原始數據",$T223&lt;&gt;1)),1,0)</f>
        <v>0</v>
      </c>
      <c r="AI223" s="53" t="str">
        <f aca="false">IF(AND($P223="高",ISNUMBER($AF223)),INDEX(IDX_SrcDate,$AF223),"—")</f>
        <v>—</v>
      </c>
      <c r="AJ223" s="104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6" t="s">
        <v>3761</v>
      </c>
      <c r="B224" s="215" t="s">
        <v>3183</v>
      </c>
      <c r="C224" s="36" t="s">
        <v>3661</v>
      </c>
      <c r="D224" s="36" t="s">
        <v>3263</v>
      </c>
      <c r="E224" s="6" t="s">
        <v>265</v>
      </c>
      <c r="F224" s="36" t="s">
        <v>3471</v>
      </c>
      <c r="G224" s="215" t="s">
        <v>3185</v>
      </c>
      <c r="H224" s="36" t="s">
        <v>587</v>
      </c>
      <c r="I224" s="6" t="s">
        <v>587</v>
      </c>
      <c r="J224" s="36" t="s">
        <v>587</v>
      </c>
      <c r="K224" s="215"/>
      <c r="L224" s="215"/>
      <c r="M224" s="36" t="s">
        <v>587</v>
      </c>
      <c r="N224" s="220" t="s">
        <v>3759</v>
      </c>
      <c r="O224" s="6" t="s">
        <v>587</v>
      </c>
      <c r="P224" s="215" t="s">
        <v>3188</v>
      </c>
      <c r="Q224" s="41" t="n">
        <f aca="false">Arch!E21</f>
        <v>14976</v>
      </c>
      <c r="R224" s="36" t="s">
        <v>587</v>
      </c>
      <c r="S224" s="35" t="str">
        <f aca="false">IF(ISNUMBER($AF224),INDEX(IDX_SrcStat,$AF224),"—")</f>
        <v>—</v>
      </c>
      <c r="T224" s="35" t="str">
        <f aca="false">IF(ISNUMBER($AF224),INDEX(IDX_SrcGrade,$AF224),"—")</f>
        <v>—</v>
      </c>
      <c r="U224" s="35" t="s">
        <v>3418</v>
      </c>
      <c r="V224" s="186" t="n">
        <f aca="false">IF(AND($F224="原始數據",$U224&lt;&gt;"連結 SRC"),1,0)</f>
        <v>0</v>
      </c>
      <c r="W224" s="186" t="n">
        <f aca="false">IF(AND($F224="Analogy",OR($H224="—",$H224="")),1,0)</f>
        <v>0</v>
      </c>
      <c r="X224" s="186" t="n">
        <f aca="false">IF(AND(OR($F224="Analogy",$F224="Assumed"),$G224&lt;&gt;"低",$G224&lt;&gt;"高",NOT(ISNUMBER($K224)),NOT(ISNUMBER($L224)),OR($M224="—",$M224="")),1,0)</f>
        <v>0</v>
      </c>
      <c r="Y224" s="186" t="n">
        <f aca="false">IF(AND(OR($F224="Analogy",$F224="Assumed",$F224="Derived（待改公式）",$F224="Derived（公式）"),OR($N224="—",$N224="",$N224=0)),1,0)</f>
        <v>0</v>
      </c>
      <c r="Z224" s="186" t="n">
        <f aca="false">IF(AND($F224="Decision",OR($J224="—",$J224="")),1,0)</f>
        <v>0</v>
      </c>
      <c r="AA224" s="183" t="n">
        <f aca="false">IF(OR($J224="—",$J224=""),0,IF(COUNTIF(Decisions!$A$5:$A$300,$J224)=0,1,0))</f>
        <v>0</v>
      </c>
      <c r="AB224" s="186" t="n">
        <f aca="false">IF(AND($F224="原始數據",$S224&lt;&gt;"Active"),1,0)</f>
        <v>0</v>
      </c>
      <c r="AC224" s="186" t="n">
        <f aca="false">IF(AND(ISNUMBER($K224),ISNUMBER($L224),ISNUMBER($Q224)),IF(OR($Q224&lt;MIN($K224,$L224),$Q224&gt;MAX($K224,$L224)),1,0),0)</f>
        <v>0</v>
      </c>
      <c r="AD224" s="186" t="n">
        <f aca="false">IF(AND(ISNUMBER($T224),$P224="高"),IF($T224=3,1,0),0)</f>
        <v>0</v>
      </c>
      <c r="AE224" s="186" t="n">
        <f aca="false">IF($S224="不存在",1,0)</f>
        <v>0</v>
      </c>
      <c r="AF224" s="35" t="str">
        <f aca="false">IF(OR($H224="—",$H224=""),"—",MATCH($H224,IDX_SrcID,0))</f>
        <v>—</v>
      </c>
      <c r="AG224" s="104" t="n">
        <f aca="false">IF(AND($P224="高",OR($AD224=1,$X224=1)),1,0)</f>
        <v>0</v>
      </c>
      <c r="AH224" s="104" t="n">
        <f aca="false">IF(AND($P224="高",$AG224=0,OR($F224&lt;&gt;"原始數據",$T224&lt;&gt;1)),1,0)</f>
        <v>0</v>
      </c>
      <c r="AI224" s="53" t="str">
        <f aca="false">IF(AND($P224="高",ISNUMBER($AF224)),INDEX(IDX_SrcDate,$AF224),"—")</f>
        <v>—</v>
      </c>
      <c r="AJ224" s="104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6" t="s">
        <v>3762</v>
      </c>
      <c r="B225" s="215" t="s">
        <v>3183</v>
      </c>
      <c r="C225" s="36" t="s">
        <v>3661</v>
      </c>
      <c r="D225" s="36" t="s">
        <v>3763</v>
      </c>
      <c r="E225" s="6" t="s">
        <v>268</v>
      </c>
      <c r="F225" s="36" t="s">
        <v>3471</v>
      </c>
      <c r="G225" s="215" t="s">
        <v>3185</v>
      </c>
      <c r="H225" s="36" t="s">
        <v>587</v>
      </c>
      <c r="I225" s="6" t="s">
        <v>587</v>
      </c>
      <c r="J225" s="36" t="s">
        <v>587</v>
      </c>
      <c r="K225" s="215"/>
      <c r="L225" s="215"/>
      <c r="M225" s="36" t="s">
        <v>587</v>
      </c>
      <c r="N225" s="220" t="s">
        <v>3759</v>
      </c>
      <c r="O225" s="6" t="s">
        <v>587</v>
      </c>
      <c r="P225" s="215" t="s">
        <v>3188</v>
      </c>
      <c r="Q225" s="41" t="n">
        <f aca="false">Arch!C22</f>
        <v>2795</v>
      </c>
      <c r="R225" s="36" t="s">
        <v>587</v>
      </c>
      <c r="S225" s="35" t="str">
        <f aca="false">IF(ISNUMBER($AF225),INDEX(IDX_SrcStat,$AF225),"—")</f>
        <v>—</v>
      </c>
      <c r="T225" s="35" t="str">
        <f aca="false">IF(ISNUMBER($AF225),INDEX(IDX_SrcGrade,$AF225),"—")</f>
        <v>—</v>
      </c>
      <c r="U225" s="35" t="s">
        <v>3418</v>
      </c>
      <c r="V225" s="186" t="n">
        <f aca="false">IF(AND($F225="原始數據",$U225&lt;&gt;"連結 SRC"),1,0)</f>
        <v>0</v>
      </c>
      <c r="W225" s="186" t="n">
        <f aca="false">IF(AND($F225="Analogy",OR($H225="—",$H225="")),1,0)</f>
        <v>0</v>
      </c>
      <c r="X225" s="186" t="n">
        <f aca="false">IF(AND(OR($F225="Analogy",$F225="Assumed"),$G225&lt;&gt;"低",$G225&lt;&gt;"高",NOT(ISNUMBER($K225)),NOT(ISNUMBER($L225)),OR($M225="—",$M225="")),1,0)</f>
        <v>0</v>
      </c>
      <c r="Y225" s="186" t="n">
        <f aca="false">IF(AND(OR($F225="Analogy",$F225="Assumed",$F225="Derived（待改公式）",$F225="Derived（公式）"),OR($N225="—",$N225="",$N225=0)),1,0)</f>
        <v>0</v>
      </c>
      <c r="Z225" s="186" t="n">
        <f aca="false">IF(AND($F225="Decision",OR($J225="—",$J225="")),1,0)</f>
        <v>0</v>
      </c>
      <c r="AA225" s="183" t="n">
        <f aca="false">IF(OR($J225="—",$J225=""),0,IF(COUNTIF(Decisions!$A$5:$A$300,$J225)=0,1,0))</f>
        <v>0</v>
      </c>
      <c r="AB225" s="186" t="n">
        <f aca="false">IF(AND($F225="原始數據",$S225&lt;&gt;"Active"),1,0)</f>
        <v>0</v>
      </c>
      <c r="AC225" s="186" t="n">
        <f aca="false">IF(AND(ISNUMBER($K225),ISNUMBER($L225),ISNUMBER($Q225)),IF(OR($Q225&lt;MIN($K225,$L225),$Q225&gt;MAX($K225,$L225)),1,0),0)</f>
        <v>0</v>
      </c>
      <c r="AD225" s="186" t="n">
        <f aca="false">IF(AND(ISNUMBER($T225),$P225="高"),IF($T225=3,1,0),0)</f>
        <v>0</v>
      </c>
      <c r="AE225" s="186" t="n">
        <f aca="false">IF($S225="不存在",1,0)</f>
        <v>0</v>
      </c>
      <c r="AF225" s="35" t="str">
        <f aca="false">IF(OR($H225="—",$H225=""),"—",MATCH($H225,IDX_SrcID,0))</f>
        <v>—</v>
      </c>
      <c r="AG225" s="104" t="n">
        <f aca="false">IF(AND($P225="高",OR($AD225=1,$X225=1)),1,0)</f>
        <v>0</v>
      </c>
      <c r="AH225" s="104" t="n">
        <f aca="false">IF(AND($P225="高",$AG225=0,OR($F225&lt;&gt;"原始數據",$T225&lt;&gt;1)),1,0)</f>
        <v>0</v>
      </c>
      <c r="AI225" s="53" t="str">
        <f aca="false">IF(AND($P225="高",ISNUMBER($AF225)),INDEX(IDX_SrcDate,$AF225),"—")</f>
        <v>—</v>
      </c>
      <c r="AJ225" s="104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6" t="s">
        <v>3764</v>
      </c>
      <c r="B226" s="215" t="s">
        <v>3183</v>
      </c>
      <c r="C226" s="36" t="s">
        <v>3661</v>
      </c>
      <c r="D226" s="36" t="s">
        <v>3765</v>
      </c>
      <c r="E226" s="6" t="s">
        <v>268</v>
      </c>
      <c r="F226" s="36" t="s">
        <v>3471</v>
      </c>
      <c r="G226" s="215" t="s">
        <v>3185</v>
      </c>
      <c r="H226" s="36" t="s">
        <v>587</v>
      </c>
      <c r="I226" s="6" t="s">
        <v>587</v>
      </c>
      <c r="J226" s="36" t="s">
        <v>587</v>
      </c>
      <c r="K226" s="215"/>
      <c r="L226" s="215"/>
      <c r="M226" s="36" t="s">
        <v>587</v>
      </c>
      <c r="N226" s="220" t="s">
        <v>3759</v>
      </c>
      <c r="O226" s="6" t="s">
        <v>587</v>
      </c>
      <c r="P226" s="215" t="s">
        <v>3188</v>
      </c>
      <c r="Q226" s="41" t="n">
        <f aca="false">Arch!D22</f>
        <v>3965</v>
      </c>
      <c r="R226" s="36" t="s">
        <v>587</v>
      </c>
      <c r="S226" s="35" t="str">
        <f aca="false">IF(ISNUMBER($AF226),INDEX(IDX_SrcStat,$AF226),"—")</f>
        <v>—</v>
      </c>
      <c r="T226" s="35" t="str">
        <f aca="false">IF(ISNUMBER($AF226),INDEX(IDX_SrcGrade,$AF226),"—")</f>
        <v>—</v>
      </c>
      <c r="U226" s="35" t="s">
        <v>3418</v>
      </c>
      <c r="V226" s="186" t="n">
        <f aca="false">IF(AND($F226="原始數據",$U226&lt;&gt;"連結 SRC"),1,0)</f>
        <v>0</v>
      </c>
      <c r="W226" s="186" t="n">
        <f aca="false">IF(AND($F226="Analogy",OR($H226="—",$H226="")),1,0)</f>
        <v>0</v>
      </c>
      <c r="X226" s="186" t="n">
        <f aca="false">IF(AND(OR($F226="Analogy",$F226="Assumed"),$G226&lt;&gt;"低",$G226&lt;&gt;"高",NOT(ISNUMBER($K226)),NOT(ISNUMBER($L226)),OR($M226="—",$M226="")),1,0)</f>
        <v>0</v>
      </c>
      <c r="Y226" s="186" t="n">
        <f aca="false">IF(AND(OR($F226="Analogy",$F226="Assumed",$F226="Derived（待改公式）",$F226="Derived（公式）"),OR($N226="—",$N226="",$N226=0)),1,0)</f>
        <v>0</v>
      </c>
      <c r="Z226" s="186" t="n">
        <f aca="false">IF(AND($F226="Decision",OR($J226="—",$J226="")),1,0)</f>
        <v>0</v>
      </c>
      <c r="AA226" s="183" t="n">
        <f aca="false">IF(OR($J226="—",$J226=""),0,IF(COUNTIF(Decisions!$A$5:$A$300,$J226)=0,1,0))</f>
        <v>0</v>
      </c>
      <c r="AB226" s="186" t="n">
        <f aca="false">IF(AND($F226="原始數據",$S226&lt;&gt;"Active"),1,0)</f>
        <v>0</v>
      </c>
      <c r="AC226" s="186" t="n">
        <f aca="false">IF(AND(ISNUMBER($K226),ISNUMBER($L226),ISNUMBER($Q226)),IF(OR($Q226&lt;MIN($K226,$L226),$Q226&gt;MAX($K226,$L226)),1,0),0)</f>
        <v>0</v>
      </c>
      <c r="AD226" s="186" t="n">
        <f aca="false">IF(AND(ISNUMBER($T226),$P226="高"),IF($T226=3,1,0),0)</f>
        <v>0</v>
      </c>
      <c r="AE226" s="186" t="n">
        <f aca="false">IF($S226="不存在",1,0)</f>
        <v>0</v>
      </c>
      <c r="AF226" s="35" t="str">
        <f aca="false">IF(OR($H226="—",$H226=""),"—",MATCH($H226,IDX_SrcID,0))</f>
        <v>—</v>
      </c>
      <c r="AG226" s="104" t="n">
        <f aca="false">IF(AND($P226="高",OR($AD226=1,$X226=1)),1,0)</f>
        <v>0</v>
      </c>
      <c r="AH226" s="104" t="n">
        <f aca="false">IF(AND($P226="高",$AG226=0,OR($F226&lt;&gt;"原始數據",$T226&lt;&gt;1)),1,0)</f>
        <v>0</v>
      </c>
      <c r="AI226" s="53" t="str">
        <f aca="false">IF(AND($P226="高",ISNUMBER($AF226)),INDEX(IDX_SrcDate,$AF226),"—")</f>
        <v>—</v>
      </c>
      <c r="AJ226" s="104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6" t="s">
        <v>3766</v>
      </c>
      <c r="B227" s="215" t="s">
        <v>3183</v>
      </c>
      <c r="C227" s="36" t="s">
        <v>3661</v>
      </c>
      <c r="D227" s="36" t="s">
        <v>3767</v>
      </c>
      <c r="E227" s="6" t="s">
        <v>268</v>
      </c>
      <c r="F227" s="36" t="s">
        <v>3471</v>
      </c>
      <c r="G227" s="215" t="s">
        <v>3185</v>
      </c>
      <c r="H227" s="36" t="s">
        <v>587</v>
      </c>
      <c r="I227" s="6" t="s">
        <v>587</v>
      </c>
      <c r="J227" s="36" t="s">
        <v>587</v>
      </c>
      <c r="K227" s="215"/>
      <c r="L227" s="215"/>
      <c r="M227" s="36" t="s">
        <v>587</v>
      </c>
      <c r="N227" s="220" t="s">
        <v>3759</v>
      </c>
      <c r="O227" s="6" t="s">
        <v>587</v>
      </c>
      <c r="P227" s="215" t="s">
        <v>3188</v>
      </c>
      <c r="Q227" s="41" t="n">
        <f aca="false">Arch!E22</f>
        <v>57600</v>
      </c>
      <c r="R227" s="36" t="s">
        <v>587</v>
      </c>
      <c r="S227" s="35" t="str">
        <f aca="false">IF(ISNUMBER($AF227),INDEX(IDX_SrcStat,$AF227),"—")</f>
        <v>—</v>
      </c>
      <c r="T227" s="35" t="str">
        <f aca="false">IF(ISNUMBER($AF227),INDEX(IDX_SrcGrade,$AF227),"—")</f>
        <v>—</v>
      </c>
      <c r="U227" s="35" t="s">
        <v>3418</v>
      </c>
      <c r="V227" s="186" t="n">
        <f aca="false">IF(AND($F227="原始數據",$U227&lt;&gt;"連結 SRC"),1,0)</f>
        <v>0</v>
      </c>
      <c r="W227" s="186" t="n">
        <f aca="false">IF(AND($F227="Analogy",OR($H227="—",$H227="")),1,0)</f>
        <v>0</v>
      </c>
      <c r="X227" s="186" t="n">
        <f aca="false">IF(AND(OR($F227="Analogy",$F227="Assumed"),$G227&lt;&gt;"低",$G227&lt;&gt;"高",NOT(ISNUMBER($K227)),NOT(ISNUMBER($L227)),OR($M227="—",$M227="")),1,0)</f>
        <v>0</v>
      </c>
      <c r="Y227" s="186" t="n">
        <f aca="false">IF(AND(OR($F227="Analogy",$F227="Assumed",$F227="Derived（待改公式）",$F227="Derived（公式）"),OR($N227="—",$N227="",$N227=0)),1,0)</f>
        <v>0</v>
      </c>
      <c r="Z227" s="186" t="n">
        <f aca="false">IF(AND($F227="Decision",OR($J227="—",$J227="")),1,0)</f>
        <v>0</v>
      </c>
      <c r="AA227" s="183" t="n">
        <f aca="false">IF(OR($J227="—",$J227=""),0,IF(COUNTIF(Decisions!$A$5:$A$300,$J227)=0,1,0))</f>
        <v>0</v>
      </c>
      <c r="AB227" s="186" t="n">
        <f aca="false">IF(AND($F227="原始數據",$S227&lt;&gt;"Active"),1,0)</f>
        <v>0</v>
      </c>
      <c r="AC227" s="186" t="n">
        <f aca="false">IF(AND(ISNUMBER($K227),ISNUMBER($L227),ISNUMBER($Q227)),IF(OR($Q227&lt;MIN($K227,$L227),$Q227&gt;MAX($K227,$L227)),1,0),0)</f>
        <v>0</v>
      </c>
      <c r="AD227" s="186" t="n">
        <f aca="false">IF(AND(ISNUMBER($T227),$P227="高"),IF($T227=3,1,0),0)</f>
        <v>0</v>
      </c>
      <c r="AE227" s="186" t="n">
        <f aca="false">IF($S227="不存在",1,0)</f>
        <v>0</v>
      </c>
      <c r="AF227" s="35" t="str">
        <f aca="false">IF(OR($H227="—",$H227=""),"—",MATCH($H227,IDX_SrcID,0))</f>
        <v>—</v>
      </c>
      <c r="AG227" s="104" t="n">
        <f aca="false">IF(AND($P227="高",OR($AD227=1,$X227=1)),1,0)</f>
        <v>0</v>
      </c>
      <c r="AH227" s="104" t="n">
        <f aca="false">IF(AND($P227="高",$AG227=0,OR($F227&lt;&gt;"原始數據",$T227&lt;&gt;1)),1,0)</f>
        <v>0</v>
      </c>
      <c r="AI227" s="53" t="str">
        <f aca="false">IF(AND($P227="高",ISNUMBER($AF227)),INDEX(IDX_SrcDate,$AF227),"—")</f>
        <v>—</v>
      </c>
      <c r="AJ227" s="104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6" t="s">
        <v>3768</v>
      </c>
      <c r="B228" s="215" t="s">
        <v>3183</v>
      </c>
      <c r="C228" s="36" t="s">
        <v>3661</v>
      </c>
      <c r="D228" s="36" t="s">
        <v>3452</v>
      </c>
      <c r="E228" s="6" t="s">
        <v>270</v>
      </c>
      <c r="F228" s="36" t="s">
        <v>3471</v>
      </c>
      <c r="G228" s="215" t="s">
        <v>3185</v>
      </c>
      <c r="H228" s="36" t="s">
        <v>587</v>
      </c>
      <c r="I228" s="6" t="s">
        <v>587</v>
      </c>
      <c r="J228" s="36" t="s">
        <v>587</v>
      </c>
      <c r="K228" s="215"/>
      <c r="L228" s="215"/>
      <c r="M228" s="36" t="s">
        <v>587</v>
      </c>
      <c r="N228" s="220" t="s">
        <v>3759</v>
      </c>
      <c r="O228" s="6" t="s">
        <v>587</v>
      </c>
      <c r="P228" s="215" t="s">
        <v>3188</v>
      </c>
      <c r="Q228" s="41" t="n">
        <f aca="false">Arch!C23</f>
        <v>2795</v>
      </c>
      <c r="R228" s="36" t="s">
        <v>587</v>
      </c>
      <c r="S228" s="35" t="str">
        <f aca="false">IF(ISNUMBER($AF228),INDEX(IDX_SrcStat,$AF228),"—")</f>
        <v>—</v>
      </c>
      <c r="T228" s="35" t="str">
        <f aca="false">IF(ISNUMBER($AF228),INDEX(IDX_SrcGrade,$AF228),"—")</f>
        <v>—</v>
      </c>
      <c r="U228" s="35" t="s">
        <v>3418</v>
      </c>
      <c r="V228" s="186" t="n">
        <f aca="false">IF(AND($F228="原始數據",$U228&lt;&gt;"連結 SRC"),1,0)</f>
        <v>0</v>
      </c>
      <c r="W228" s="186" t="n">
        <f aca="false">IF(AND($F228="Analogy",OR($H228="—",$H228="")),1,0)</f>
        <v>0</v>
      </c>
      <c r="X228" s="186" t="n">
        <f aca="false">IF(AND(OR($F228="Analogy",$F228="Assumed"),$G228&lt;&gt;"低",$G228&lt;&gt;"高",NOT(ISNUMBER($K228)),NOT(ISNUMBER($L228)),OR($M228="—",$M228="")),1,0)</f>
        <v>0</v>
      </c>
      <c r="Y228" s="186" t="n">
        <f aca="false">IF(AND(OR($F228="Analogy",$F228="Assumed",$F228="Derived（待改公式）",$F228="Derived（公式）"),OR($N228="—",$N228="",$N228=0)),1,0)</f>
        <v>0</v>
      </c>
      <c r="Z228" s="186" t="n">
        <f aca="false">IF(AND($F228="Decision",OR($J228="—",$J228="")),1,0)</f>
        <v>0</v>
      </c>
      <c r="AA228" s="183" t="n">
        <f aca="false">IF(OR($J228="—",$J228=""),0,IF(COUNTIF(Decisions!$A$5:$A$300,$J228)=0,1,0))</f>
        <v>0</v>
      </c>
      <c r="AB228" s="186" t="n">
        <f aca="false">IF(AND($F228="原始數據",$S228&lt;&gt;"Active"),1,0)</f>
        <v>0</v>
      </c>
      <c r="AC228" s="186" t="n">
        <f aca="false">IF(AND(ISNUMBER($K228),ISNUMBER($L228),ISNUMBER($Q228)),IF(OR($Q228&lt;MIN($K228,$L228),$Q228&gt;MAX($K228,$L228)),1,0),0)</f>
        <v>0</v>
      </c>
      <c r="AD228" s="186" t="n">
        <f aca="false">IF(AND(ISNUMBER($T228),$P228="高"),IF($T228=3,1,0),0)</f>
        <v>0</v>
      </c>
      <c r="AE228" s="186" t="n">
        <f aca="false">IF($S228="不存在",1,0)</f>
        <v>0</v>
      </c>
      <c r="AF228" s="35" t="str">
        <f aca="false">IF(OR($H228="—",$H228=""),"—",MATCH($H228,IDX_SrcID,0))</f>
        <v>—</v>
      </c>
      <c r="AG228" s="104" t="n">
        <f aca="false">IF(AND($P228="高",OR($AD228=1,$X228=1)),1,0)</f>
        <v>0</v>
      </c>
      <c r="AH228" s="104" t="n">
        <f aca="false">IF(AND($P228="高",$AG228=0,OR($F228&lt;&gt;"原始數據",$T228&lt;&gt;1)),1,0)</f>
        <v>0</v>
      </c>
      <c r="AI228" s="53" t="str">
        <f aca="false">IF(AND($P228="高",ISNUMBER($AF228)),INDEX(IDX_SrcDate,$AF228),"—")</f>
        <v>—</v>
      </c>
      <c r="AJ228" s="104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6" t="s">
        <v>3769</v>
      </c>
      <c r="B229" s="215" t="s">
        <v>3183</v>
      </c>
      <c r="C229" s="36" t="s">
        <v>3661</v>
      </c>
      <c r="D229" s="36" t="s">
        <v>3315</v>
      </c>
      <c r="E229" s="6" t="s">
        <v>270</v>
      </c>
      <c r="F229" s="36" t="s">
        <v>3471</v>
      </c>
      <c r="G229" s="215" t="s">
        <v>3185</v>
      </c>
      <c r="H229" s="36" t="s">
        <v>587</v>
      </c>
      <c r="I229" s="6" t="s">
        <v>587</v>
      </c>
      <c r="J229" s="36" t="s">
        <v>587</v>
      </c>
      <c r="K229" s="215"/>
      <c r="L229" s="215"/>
      <c r="M229" s="36" t="s">
        <v>587</v>
      </c>
      <c r="N229" s="220" t="s">
        <v>3759</v>
      </c>
      <c r="O229" s="6" t="s">
        <v>587</v>
      </c>
      <c r="P229" s="215" t="s">
        <v>3188</v>
      </c>
      <c r="Q229" s="41" t="n">
        <f aca="false">Arch!D23</f>
        <v>3965</v>
      </c>
      <c r="R229" s="36" t="s">
        <v>587</v>
      </c>
      <c r="S229" s="35" t="str">
        <f aca="false">IF(ISNUMBER($AF229),INDEX(IDX_SrcStat,$AF229),"—")</f>
        <v>—</v>
      </c>
      <c r="T229" s="35" t="str">
        <f aca="false">IF(ISNUMBER($AF229),INDEX(IDX_SrcGrade,$AF229),"—")</f>
        <v>—</v>
      </c>
      <c r="U229" s="35" t="s">
        <v>3418</v>
      </c>
      <c r="V229" s="186" t="n">
        <f aca="false">IF(AND($F229="原始數據",$U229&lt;&gt;"連結 SRC"),1,0)</f>
        <v>0</v>
      </c>
      <c r="W229" s="186" t="n">
        <f aca="false">IF(AND($F229="Analogy",OR($H229="—",$H229="")),1,0)</f>
        <v>0</v>
      </c>
      <c r="X229" s="186" t="n">
        <f aca="false">IF(AND(OR($F229="Analogy",$F229="Assumed"),$G229&lt;&gt;"低",$G229&lt;&gt;"高",NOT(ISNUMBER($K229)),NOT(ISNUMBER($L229)),OR($M229="—",$M229="")),1,0)</f>
        <v>0</v>
      </c>
      <c r="Y229" s="186" t="n">
        <f aca="false">IF(AND(OR($F229="Analogy",$F229="Assumed",$F229="Derived（待改公式）",$F229="Derived（公式）"),OR($N229="—",$N229="",$N229=0)),1,0)</f>
        <v>0</v>
      </c>
      <c r="Z229" s="186" t="n">
        <f aca="false">IF(AND($F229="Decision",OR($J229="—",$J229="")),1,0)</f>
        <v>0</v>
      </c>
      <c r="AA229" s="183" t="n">
        <f aca="false">IF(OR($J229="—",$J229=""),0,IF(COUNTIF(Decisions!$A$5:$A$300,$J229)=0,1,0))</f>
        <v>0</v>
      </c>
      <c r="AB229" s="186" t="n">
        <f aca="false">IF(AND($F229="原始數據",$S229&lt;&gt;"Active"),1,0)</f>
        <v>0</v>
      </c>
      <c r="AC229" s="186" t="n">
        <f aca="false">IF(AND(ISNUMBER($K229),ISNUMBER($L229),ISNUMBER($Q229)),IF(OR($Q229&lt;MIN($K229,$L229),$Q229&gt;MAX($K229,$L229)),1,0),0)</f>
        <v>0</v>
      </c>
      <c r="AD229" s="186" t="n">
        <f aca="false">IF(AND(ISNUMBER($T229),$P229="高"),IF($T229=3,1,0),0)</f>
        <v>0</v>
      </c>
      <c r="AE229" s="186" t="n">
        <f aca="false">IF($S229="不存在",1,0)</f>
        <v>0</v>
      </c>
      <c r="AF229" s="35" t="str">
        <f aca="false">IF(OR($H229="—",$H229=""),"—",MATCH($H229,IDX_SrcID,0))</f>
        <v>—</v>
      </c>
      <c r="AG229" s="104" t="n">
        <f aca="false">IF(AND($P229="高",OR($AD229=1,$X229=1)),1,0)</f>
        <v>0</v>
      </c>
      <c r="AH229" s="104" t="n">
        <f aca="false">IF(AND($P229="高",$AG229=0,OR($F229&lt;&gt;"原始數據",$T229&lt;&gt;1)),1,0)</f>
        <v>0</v>
      </c>
      <c r="AI229" s="53" t="str">
        <f aca="false">IF(AND($P229="高",ISNUMBER($AF229)),INDEX(IDX_SrcDate,$AF229),"—")</f>
        <v>—</v>
      </c>
      <c r="AJ229" s="104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6" t="s">
        <v>3770</v>
      </c>
      <c r="B230" s="215" t="s">
        <v>3183</v>
      </c>
      <c r="C230" s="36" t="s">
        <v>3661</v>
      </c>
      <c r="D230" s="36" t="s">
        <v>3320</v>
      </c>
      <c r="E230" s="6" t="s">
        <v>270</v>
      </c>
      <c r="F230" s="36" t="s">
        <v>3471</v>
      </c>
      <c r="G230" s="215" t="s">
        <v>3185</v>
      </c>
      <c r="H230" s="36" t="s">
        <v>587</v>
      </c>
      <c r="I230" s="6" t="s">
        <v>587</v>
      </c>
      <c r="J230" s="36" t="s">
        <v>587</v>
      </c>
      <c r="K230" s="215"/>
      <c r="L230" s="215"/>
      <c r="M230" s="36" t="s">
        <v>587</v>
      </c>
      <c r="N230" s="220" t="s">
        <v>3759</v>
      </c>
      <c r="O230" s="6" t="s">
        <v>587</v>
      </c>
      <c r="P230" s="215" t="s">
        <v>3188</v>
      </c>
      <c r="Q230" s="41" t="n">
        <f aca="false">Arch!E23</f>
        <v>204800</v>
      </c>
      <c r="R230" s="36" t="s">
        <v>587</v>
      </c>
      <c r="S230" s="35" t="str">
        <f aca="false">IF(ISNUMBER($AF230),INDEX(IDX_SrcStat,$AF230),"—")</f>
        <v>—</v>
      </c>
      <c r="T230" s="35" t="str">
        <f aca="false">IF(ISNUMBER($AF230),INDEX(IDX_SrcGrade,$AF230),"—")</f>
        <v>—</v>
      </c>
      <c r="U230" s="35" t="s">
        <v>3418</v>
      </c>
      <c r="V230" s="186" t="n">
        <f aca="false">IF(AND($F230="原始數據",$U230&lt;&gt;"連結 SRC"),1,0)</f>
        <v>0</v>
      </c>
      <c r="W230" s="186" t="n">
        <f aca="false">IF(AND($F230="Analogy",OR($H230="—",$H230="")),1,0)</f>
        <v>0</v>
      </c>
      <c r="X230" s="186" t="n">
        <f aca="false">IF(AND(OR($F230="Analogy",$F230="Assumed"),$G230&lt;&gt;"低",$G230&lt;&gt;"高",NOT(ISNUMBER($K230)),NOT(ISNUMBER($L230)),OR($M230="—",$M230="")),1,0)</f>
        <v>0</v>
      </c>
      <c r="Y230" s="186" t="n">
        <f aca="false">IF(AND(OR($F230="Analogy",$F230="Assumed",$F230="Derived（待改公式）",$F230="Derived（公式）"),OR($N230="—",$N230="",$N230=0)),1,0)</f>
        <v>0</v>
      </c>
      <c r="Z230" s="186" t="n">
        <f aca="false">IF(AND($F230="Decision",OR($J230="—",$J230="")),1,0)</f>
        <v>0</v>
      </c>
      <c r="AA230" s="183" t="n">
        <f aca="false">IF(OR($J230="—",$J230=""),0,IF(COUNTIF(Decisions!$A$5:$A$300,$J230)=0,1,0))</f>
        <v>0</v>
      </c>
      <c r="AB230" s="186" t="n">
        <f aca="false">IF(AND($F230="原始數據",$S230&lt;&gt;"Active"),1,0)</f>
        <v>0</v>
      </c>
      <c r="AC230" s="186" t="n">
        <f aca="false">IF(AND(ISNUMBER($K230),ISNUMBER($L230),ISNUMBER($Q230)),IF(OR($Q230&lt;MIN($K230,$L230),$Q230&gt;MAX($K230,$L230)),1,0),0)</f>
        <v>0</v>
      </c>
      <c r="AD230" s="186" t="n">
        <f aca="false">IF(AND(ISNUMBER($T230),$P230="高"),IF($T230=3,1,0),0)</f>
        <v>0</v>
      </c>
      <c r="AE230" s="186" t="n">
        <f aca="false">IF($S230="不存在",1,0)</f>
        <v>0</v>
      </c>
      <c r="AF230" s="35" t="str">
        <f aca="false">IF(OR($H230="—",$H230=""),"—",MATCH($H230,IDX_SrcID,0))</f>
        <v>—</v>
      </c>
      <c r="AG230" s="104" t="n">
        <f aca="false">IF(AND($P230="高",OR($AD230=1,$X230=1)),1,0)</f>
        <v>0</v>
      </c>
      <c r="AH230" s="104" t="n">
        <f aca="false">IF(AND($P230="高",$AG230=0,OR($F230&lt;&gt;"原始數據",$T230&lt;&gt;1)),1,0)</f>
        <v>0</v>
      </c>
      <c r="AI230" s="53" t="str">
        <f aca="false">IF(AND($P230="高",ISNUMBER($AF230)),INDEX(IDX_SrcDate,$AF230),"—")</f>
        <v>—</v>
      </c>
      <c r="AJ230" s="104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6" t="s">
        <v>3771</v>
      </c>
      <c r="B231" s="215" t="s">
        <v>3183</v>
      </c>
      <c r="C231" s="36" t="s">
        <v>3772</v>
      </c>
      <c r="D231" s="36" t="s">
        <v>3342</v>
      </c>
      <c r="E231" s="6" t="s">
        <v>308</v>
      </c>
      <c r="F231" s="36" t="s">
        <v>84</v>
      </c>
      <c r="G231" s="215" t="s">
        <v>3185</v>
      </c>
      <c r="H231" s="36" t="s">
        <v>3773</v>
      </c>
      <c r="I231" s="19" t="s">
        <v>3774</v>
      </c>
      <c r="J231" s="36" t="s">
        <v>587</v>
      </c>
      <c r="K231" s="217" t="n">
        <v>1</v>
      </c>
      <c r="L231" s="217" t="n">
        <v>5</v>
      </c>
      <c r="M231" s="36" t="s">
        <v>3775</v>
      </c>
      <c r="N231" s="216" t="str">
        <f aca="false">Serving!$F$6&amp;" ｜補充旗標（IF 全欄分段，非分段依據）：中"</f>
        <v>DeepSeek MTP；區間 1–5 ｜補充旗標（IF 全欄分段，非分段依據）：中</v>
      </c>
      <c r="O231" s="6" t="s">
        <v>587</v>
      </c>
      <c r="P231" s="215" t="s">
        <v>1115</v>
      </c>
      <c r="Q231" s="183" t="n">
        <f aca="false">Serving!C6</f>
        <v>3</v>
      </c>
      <c r="R231" s="185" t="n">
        <f aca="false">SRC_PERF_035</f>
        <v>3</v>
      </c>
      <c r="S231" s="35" t="str">
        <f aca="false">IF(ISNUMBER($AF231),INDEX(IDX_SrcStat,$AF231),"—")</f>
        <v>Active</v>
      </c>
      <c r="T231" s="35" t="n">
        <f aca="false">IF(ISNUMBER($AF231),INDEX(IDX_SrcGrade,$AF231),"—")</f>
        <v>1</v>
      </c>
      <c r="U231" s="35" t="s">
        <v>3189</v>
      </c>
      <c r="V231" s="186" t="n">
        <f aca="false">IF(AND($F231="原始數據",$U231&lt;&gt;"連結 SRC"),1,0)</f>
        <v>0</v>
      </c>
      <c r="W231" s="186" t="n">
        <f aca="false">IF(AND($F231="Analogy",OR($H231="—",$H231="")),1,0)</f>
        <v>0</v>
      </c>
      <c r="X231" s="186" t="n">
        <f aca="false">IF(AND(OR($F231="Analogy",$F231="Assumed"),$G231&lt;&gt;"低",$G231&lt;&gt;"高",NOT(ISNUMBER($K231)),NOT(ISNUMBER($L231)),OR($M231="—",$M231="")),1,0)</f>
        <v>0</v>
      </c>
      <c r="Y231" s="186" t="n">
        <f aca="false">IF(AND(OR($F231="Analogy",$F231="Assumed",$F231="Derived（待改公式）",$F231="Derived（公式）"),OR($N231="—",$N231="",$N231=0)),1,0)</f>
        <v>0</v>
      </c>
      <c r="Z231" s="186" t="n">
        <f aca="false">IF(AND($F231="Decision",OR($J231="—",$J231="")),1,0)</f>
        <v>0</v>
      </c>
      <c r="AA231" s="183" t="n">
        <f aca="false">IF(OR($J231="—",$J231=""),0,IF(COUNTIF(Decisions!$A$5:$A$300,$J231)=0,1,0))</f>
        <v>0</v>
      </c>
      <c r="AB231" s="186" t="n">
        <f aca="false">IF(AND($F231="原始數據",$S231&lt;&gt;"Active"),1,0)</f>
        <v>0</v>
      </c>
      <c r="AC231" s="186" t="n">
        <f aca="false">IF(AND(ISNUMBER($K231),ISNUMBER($L231),ISNUMBER($Q231)),IF(OR($Q231&lt;MIN($K231,$L231),$Q231&gt;MAX($K231,$L231)),1,0),0)</f>
        <v>0</v>
      </c>
      <c r="AD231" s="186" t="n">
        <f aca="false">IF(AND(ISNUMBER($T231),$P231="高"),IF($T231=3,1,0),0)</f>
        <v>0</v>
      </c>
      <c r="AE231" s="186" t="n">
        <f aca="false">IF($S231="不存在",1,0)</f>
        <v>0</v>
      </c>
      <c r="AF231" s="35" t="n">
        <f aca="false">IF(OR($H231="—",$H231=""),"—",MATCH($H231,IDX_SrcID,0))</f>
        <v>323</v>
      </c>
      <c r="AG231" s="104" t="n">
        <f aca="false">IF(AND($P231="高",OR($AD231=1,$X231=1)),1,0)</f>
        <v>0</v>
      </c>
      <c r="AH231" s="104" t="n">
        <f aca="false">IF(AND($P231="高",$AG231=0,OR($F231&lt;&gt;"原始數據",$T231&lt;&gt;1)),1,0)</f>
        <v>0</v>
      </c>
      <c r="AI231" s="53" t="str">
        <f aca="false">IF(AND($P231="高",ISNUMBER($AF231)),INDEX(IDX_SrcDate,$AF231),"—")</f>
        <v>—</v>
      </c>
      <c r="AJ231" s="104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6" t="s">
        <v>3776</v>
      </c>
      <c r="B232" s="215" t="s">
        <v>3183</v>
      </c>
      <c r="C232" s="36" t="s">
        <v>3772</v>
      </c>
      <c r="D232" s="36" t="s">
        <v>3666</v>
      </c>
      <c r="E232" s="19" t="s">
        <v>3777</v>
      </c>
      <c r="F232" s="215" t="s">
        <v>298</v>
      </c>
      <c r="G232" s="215" t="s">
        <v>3185</v>
      </c>
      <c r="H232" s="36" t="s">
        <v>3778</v>
      </c>
      <c r="I232" s="19" t="s">
        <v>3220</v>
      </c>
      <c r="J232" s="36" t="s">
        <v>587</v>
      </c>
      <c r="K232" s="215"/>
      <c r="L232" s="215"/>
      <c r="M232" s="36" t="s">
        <v>587</v>
      </c>
      <c r="N232" s="19" t="s">
        <v>3406</v>
      </c>
      <c r="O232" s="6" t="s">
        <v>587</v>
      </c>
      <c r="P232" s="215" t="s">
        <v>3244</v>
      </c>
      <c r="Q232" s="177" t="n">
        <f aca="false">Serving!C7</f>
        <v>0.7</v>
      </c>
      <c r="R232" s="185" t="n">
        <f aca="false">SRC_PERF_005</f>
        <v>0.7</v>
      </c>
      <c r="S232" s="35" t="str">
        <f aca="false">IF(ISNUMBER($AF232),INDEX(IDX_SrcStat,$AF232),"—")</f>
        <v>Active</v>
      </c>
      <c r="T232" s="35" t="n">
        <f aca="false">IF(ISNUMBER($AF232),INDEX(IDX_SrcGrade,$AF232),"—")</f>
        <v>1</v>
      </c>
      <c r="U232" s="35" t="s">
        <v>3222</v>
      </c>
      <c r="V232" s="186" t="n">
        <f aca="false">IF(AND($F232="原始數據",$U232&lt;&gt;"連結 SRC"),1,0)</f>
        <v>0</v>
      </c>
      <c r="W232" s="186" t="n">
        <f aca="false">IF(AND($F232="Analogy",OR($H232="—",$H232="")),1,0)</f>
        <v>0</v>
      </c>
      <c r="X232" s="186" t="n">
        <f aca="false">IF(AND(OR($F232="Analogy",$F232="Assumed"),$G232&lt;&gt;"低",$G232&lt;&gt;"高",NOT(ISNUMBER($K232)),NOT(ISNUMBER($L232)),OR($M232="—",$M232="")),1,0)</f>
        <v>0</v>
      </c>
      <c r="Y232" s="186" t="n">
        <f aca="false">IF(AND(OR($F232="Analogy",$F232="Assumed",$F232="Derived（待改公式）",$F232="Derived（公式）"),OR($N232="—",$N232="",$N232=0)),1,0)</f>
        <v>0</v>
      </c>
      <c r="Z232" s="186" t="n">
        <f aca="false">IF(AND($F232="Decision",OR($J232="—",$J232="")),1,0)</f>
        <v>0</v>
      </c>
      <c r="AA232" s="183" t="n">
        <f aca="false">IF(OR($J232="—",$J232=""),0,IF(COUNTIF(Decisions!$A$5:$A$300,$J232)=0,1,0))</f>
        <v>0</v>
      </c>
      <c r="AB232" s="186" t="n">
        <f aca="false">IF(AND($F232="原始數據",$S232&lt;&gt;"Active"),1,0)</f>
        <v>0</v>
      </c>
      <c r="AC232" s="186" t="n">
        <f aca="false">IF(AND(ISNUMBER($K232),ISNUMBER($L232),ISNUMBER($Q232)),IF(OR($Q232&lt;MIN($K232,$L232),$Q232&gt;MAX($K232,$L232)),1,0),0)</f>
        <v>0</v>
      </c>
      <c r="AD232" s="186" t="n">
        <f aca="false">IF(AND(ISNUMBER($T232),$P232="高"),IF($T232=3,1,0),0)</f>
        <v>0</v>
      </c>
      <c r="AE232" s="186" t="n">
        <f aca="false">IF($S232="不存在",1,0)</f>
        <v>0</v>
      </c>
      <c r="AF232" s="35" t="n">
        <f aca="false">IF(OR($H232="—",$H232=""),"—",MATCH($H232,IDX_SrcID,0))</f>
        <v>293</v>
      </c>
      <c r="AG232" s="104" t="n">
        <f aca="false">IF(AND($P232="高",OR($AD232=1,$X232=1)),1,0)</f>
        <v>0</v>
      </c>
      <c r="AH232" s="104" t="n">
        <f aca="false">IF(AND($P232="高",$AG232=0,OR($F232&lt;&gt;"原始數據",$T232&lt;&gt;1)),1,0)</f>
        <v>0</v>
      </c>
      <c r="AI232" s="53" t="str">
        <f aca="false">IF(AND($P232="高",ISNUMBER($AF232)),INDEX(IDX_SrcDate,$AF232),"—")</f>
        <v>—</v>
      </c>
      <c r="AJ232" s="104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6" t="s">
        <v>3779</v>
      </c>
      <c r="B233" s="215" t="s">
        <v>3183</v>
      </c>
      <c r="C233" s="36" t="s">
        <v>3772</v>
      </c>
      <c r="D233" s="36" t="s">
        <v>3369</v>
      </c>
      <c r="E233" s="6" t="s">
        <v>315</v>
      </c>
      <c r="F233" s="36" t="s">
        <v>80</v>
      </c>
      <c r="G233" s="215" t="s">
        <v>3185</v>
      </c>
      <c r="H233" s="36" t="s">
        <v>587</v>
      </c>
      <c r="I233" s="6" t="s">
        <v>587</v>
      </c>
      <c r="J233" s="36" t="s">
        <v>587</v>
      </c>
      <c r="K233" s="217" t="n">
        <v>0.05</v>
      </c>
      <c r="L233" s="217" t="n">
        <v>0.2</v>
      </c>
      <c r="M233" s="36" t="s">
        <v>3780</v>
      </c>
      <c r="N233" s="216" t="str">
        <f aca="false">Serving!$F$9&amp;" ｜補充旗標（IF 全欄分段，非分段依據）：中"</f>
        <v>區間 5–20% ｜補充旗標（IF 全欄分段，非分段依據）：中</v>
      </c>
      <c r="O233" s="6" t="s">
        <v>587</v>
      </c>
      <c r="P233" s="215" t="s">
        <v>1115</v>
      </c>
      <c r="Q233" s="177" t="n">
        <f aca="false">Serving!C9</f>
        <v>0.1</v>
      </c>
      <c r="R233" s="36" t="s">
        <v>587</v>
      </c>
      <c r="S233" s="35" t="str">
        <f aca="false">IF(ISNUMBER($AF233),INDEX(IDX_SrcStat,$AF233),"—")</f>
        <v>—</v>
      </c>
      <c r="T233" s="35" t="str">
        <f aca="false">IF(ISNUMBER($AF233),INDEX(IDX_SrcGrade,$AF233),"—")</f>
        <v>—</v>
      </c>
      <c r="U233" s="35" t="s">
        <v>3189</v>
      </c>
      <c r="V233" s="186" t="n">
        <f aca="false">IF(AND($F233="原始數據",$U233&lt;&gt;"連結 SRC"),1,0)</f>
        <v>0</v>
      </c>
      <c r="W233" s="186" t="n">
        <f aca="false">IF(AND($F233="Analogy",OR($H233="—",$H233="")),1,0)</f>
        <v>0</v>
      </c>
      <c r="X233" s="186" t="n">
        <f aca="false">IF(AND(OR($F233="Analogy",$F233="Assumed"),$G233&lt;&gt;"低",$G233&lt;&gt;"高",NOT(ISNUMBER($K233)),NOT(ISNUMBER($L233)),OR($M233="—",$M233="")),1,0)</f>
        <v>0</v>
      </c>
      <c r="Y233" s="186" t="n">
        <f aca="false">IF(AND(OR($F233="Analogy",$F233="Assumed",$F233="Derived（待改公式）",$F233="Derived（公式）"),OR($N233="—",$N233="",$N233=0)),1,0)</f>
        <v>0</v>
      </c>
      <c r="Z233" s="186" t="n">
        <f aca="false">IF(AND($F233="Decision",OR($J233="—",$J233="")),1,0)</f>
        <v>0</v>
      </c>
      <c r="AA233" s="183" t="n">
        <f aca="false">IF(OR($J233="—",$J233=""),0,IF(COUNTIF(Decisions!$A$5:$A$300,$J233)=0,1,0))</f>
        <v>0</v>
      </c>
      <c r="AB233" s="186" t="n">
        <f aca="false">IF(AND($F233="原始數據",$S233&lt;&gt;"Active"),1,0)</f>
        <v>0</v>
      </c>
      <c r="AC233" s="186" t="n">
        <f aca="false">IF(AND(ISNUMBER($K233),ISNUMBER($L233),ISNUMBER($Q233)),IF(OR($Q233&lt;MIN($K233,$L233),$Q233&gt;MAX($K233,$L233)),1,0),0)</f>
        <v>0</v>
      </c>
      <c r="AD233" s="186" t="n">
        <f aca="false">IF(AND(ISNUMBER($T233),$P233="高"),IF($T233=3,1,0),0)</f>
        <v>0</v>
      </c>
      <c r="AE233" s="186" t="n">
        <f aca="false">IF($S233="不存在",1,0)</f>
        <v>0</v>
      </c>
      <c r="AF233" s="35" t="str">
        <f aca="false">IF(OR($H233="—",$H233=""),"—",MATCH($H233,IDX_SrcID,0))</f>
        <v>—</v>
      </c>
      <c r="AG233" s="104" t="n">
        <f aca="false">IF(AND($P233="高",OR($AD233=1,$X233=1)),1,0)</f>
        <v>0</v>
      </c>
      <c r="AH233" s="104" t="n">
        <f aca="false">IF(AND($P233="高",$AG233=0,OR($F233&lt;&gt;"原始數據",$T233&lt;&gt;1)),1,0)</f>
        <v>0</v>
      </c>
      <c r="AI233" s="53" t="str">
        <f aca="false">IF(AND($P233="高",ISNUMBER($AF233)),INDEX(IDX_SrcDate,$AF233),"—")</f>
        <v>—</v>
      </c>
      <c r="AJ233" s="104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6" t="s">
        <v>3781</v>
      </c>
      <c r="B234" s="215" t="s">
        <v>3183</v>
      </c>
      <c r="C234" s="36" t="s">
        <v>3772</v>
      </c>
      <c r="D234" s="36" t="s">
        <v>3389</v>
      </c>
      <c r="E234" s="19" t="s">
        <v>3782</v>
      </c>
      <c r="F234" s="36" t="s">
        <v>80</v>
      </c>
      <c r="G234" s="215" t="s">
        <v>3185</v>
      </c>
      <c r="H234" s="36" t="s">
        <v>587</v>
      </c>
      <c r="I234" s="6" t="s">
        <v>587</v>
      </c>
      <c r="J234" s="36" t="s">
        <v>587</v>
      </c>
      <c r="K234" s="217" t="n">
        <v>0.1</v>
      </c>
      <c r="L234" s="217" t="n">
        <v>0.3</v>
      </c>
      <c r="M234" s="36" t="s">
        <v>3783</v>
      </c>
      <c r="N234" s="216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587</v>
      </c>
      <c r="P234" s="215" t="s">
        <v>3244</v>
      </c>
      <c r="Q234" s="177" t="n">
        <f aca="false">Serving!C10</f>
        <v>0.2</v>
      </c>
      <c r="R234" s="36" t="s">
        <v>587</v>
      </c>
      <c r="S234" s="35" t="str">
        <f aca="false">IF(ISNUMBER($AF234),INDEX(IDX_SrcStat,$AF234),"—")</f>
        <v>—</v>
      </c>
      <c r="T234" s="35" t="str">
        <f aca="false">IF(ISNUMBER($AF234),INDEX(IDX_SrcGrade,$AF234),"—")</f>
        <v>—</v>
      </c>
      <c r="U234" s="35" t="s">
        <v>3189</v>
      </c>
      <c r="V234" s="186" t="n">
        <f aca="false">IF(AND($F234="原始數據",$U234&lt;&gt;"連結 SRC"),1,0)</f>
        <v>0</v>
      </c>
      <c r="W234" s="186" t="n">
        <f aca="false">IF(AND($F234="Analogy",OR($H234="—",$H234="")),1,0)</f>
        <v>0</v>
      </c>
      <c r="X234" s="186" t="n">
        <f aca="false">IF(AND(OR($F234="Analogy",$F234="Assumed"),$G234&lt;&gt;"低",$G234&lt;&gt;"高",NOT(ISNUMBER($K234)),NOT(ISNUMBER($L234)),OR($M234="—",$M234="")),1,0)</f>
        <v>0</v>
      </c>
      <c r="Y234" s="186" t="n">
        <f aca="false">IF(AND(OR($F234="Analogy",$F234="Assumed",$F234="Derived（待改公式）",$F234="Derived（公式）"),OR($N234="—",$N234="",$N234=0)),1,0)</f>
        <v>0</v>
      </c>
      <c r="Z234" s="186" t="n">
        <f aca="false">IF(AND($F234="Decision",OR($J234="—",$J234="")),1,0)</f>
        <v>0</v>
      </c>
      <c r="AA234" s="183" t="n">
        <f aca="false">IF(OR($J234="—",$J234=""),0,IF(COUNTIF(Decisions!$A$5:$A$300,$J234)=0,1,0))</f>
        <v>0</v>
      </c>
      <c r="AB234" s="186" t="n">
        <f aca="false">IF(AND($F234="原始數據",$S234&lt;&gt;"Active"),1,0)</f>
        <v>0</v>
      </c>
      <c r="AC234" s="186" t="n">
        <f aca="false">IF(AND(ISNUMBER($K234),ISNUMBER($L234),ISNUMBER($Q234)),IF(OR($Q234&lt;MIN($K234,$L234),$Q234&gt;MAX($K234,$L234)),1,0),0)</f>
        <v>0</v>
      </c>
      <c r="AD234" s="186" t="n">
        <f aca="false">IF(AND(ISNUMBER($T234),$P234="高"),IF($T234=3,1,0),0)</f>
        <v>0</v>
      </c>
      <c r="AE234" s="186" t="n">
        <f aca="false">IF($S234="不存在",1,0)</f>
        <v>0</v>
      </c>
      <c r="AF234" s="35" t="str">
        <f aca="false">IF(OR($H234="—",$H234=""),"—",MATCH($H234,IDX_SrcID,0))</f>
        <v>—</v>
      </c>
      <c r="AG234" s="104" t="n">
        <f aca="false">IF(AND($P234="高",OR($AD234=1,$X234=1)),1,0)</f>
        <v>0</v>
      </c>
      <c r="AH234" s="104" t="n">
        <f aca="false">IF(AND($P234="高",$AG234=0,OR($F234&lt;&gt;"原始數據",$T234&lt;&gt;1)),1,0)</f>
        <v>0</v>
      </c>
      <c r="AI234" s="53" t="str">
        <f aca="false">IF(AND($P234="高",ISNUMBER($AF234)),INDEX(IDX_SrcDate,$AF234),"—")</f>
        <v>—</v>
      </c>
      <c r="AJ234" s="104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6" t="s">
        <v>3784</v>
      </c>
      <c r="B235" s="215" t="s">
        <v>3183</v>
      </c>
      <c r="C235" s="36" t="s">
        <v>3772</v>
      </c>
      <c r="D235" s="36" t="s">
        <v>3400</v>
      </c>
      <c r="E235" s="19" t="s">
        <v>3785</v>
      </c>
      <c r="F235" s="36" t="s">
        <v>80</v>
      </c>
      <c r="G235" s="215" t="s">
        <v>3185</v>
      </c>
      <c r="H235" s="36" t="s">
        <v>587</v>
      </c>
      <c r="I235" s="6" t="s">
        <v>587</v>
      </c>
      <c r="J235" s="36" t="s">
        <v>587</v>
      </c>
      <c r="K235" s="217" t="n">
        <v>0.3</v>
      </c>
      <c r="L235" s="217" t="n">
        <v>0.5</v>
      </c>
      <c r="M235" s="36" t="s">
        <v>3786</v>
      </c>
      <c r="N235" s="216" t="str">
        <f aca="false">Serving!$F$11&amp;" ｜補充旗標（IF 全欄分段，非分段依據）：高"</f>
        <v>超過時自動加寬 EP ｜補充旗標（IF 全欄分段，非分段依據）：高</v>
      </c>
      <c r="O235" s="6" t="s">
        <v>587</v>
      </c>
      <c r="P235" s="215" t="s">
        <v>1115</v>
      </c>
      <c r="Q235" s="177" t="n">
        <f aca="false">Serving!C11</f>
        <v>0.4</v>
      </c>
      <c r="R235" s="36" t="s">
        <v>587</v>
      </c>
      <c r="S235" s="35" t="str">
        <f aca="false">IF(ISNUMBER($AF235),INDEX(IDX_SrcStat,$AF235),"—")</f>
        <v>—</v>
      </c>
      <c r="T235" s="35" t="str">
        <f aca="false">IF(ISNUMBER($AF235),INDEX(IDX_SrcGrade,$AF235),"—")</f>
        <v>—</v>
      </c>
      <c r="U235" s="35" t="s">
        <v>3189</v>
      </c>
      <c r="V235" s="186" t="n">
        <f aca="false">IF(AND($F235="原始數據",$U235&lt;&gt;"連結 SRC"),1,0)</f>
        <v>0</v>
      </c>
      <c r="W235" s="186" t="n">
        <f aca="false">IF(AND($F235="Analogy",OR($H235="—",$H235="")),1,0)</f>
        <v>0</v>
      </c>
      <c r="X235" s="186" t="n">
        <f aca="false">IF(AND(OR($F235="Analogy",$F235="Assumed"),$G235&lt;&gt;"低",$G235&lt;&gt;"高",NOT(ISNUMBER($K235)),NOT(ISNUMBER($L235)),OR($M235="—",$M235="")),1,0)</f>
        <v>0</v>
      </c>
      <c r="Y235" s="186" t="n">
        <f aca="false">IF(AND(OR($F235="Analogy",$F235="Assumed",$F235="Derived（待改公式）",$F235="Derived（公式）"),OR($N235="—",$N235="",$N235=0)),1,0)</f>
        <v>0</v>
      </c>
      <c r="Z235" s="186" t="n">
        <f aca="false">IF(AND($F235="Decision",OR($J235="—",$J235="")),1,0)</f>
        <v>0</v>
      </c>
      <c r="AA235" s="183" t="n">
        <f aca="false">IF(OR($J235="—",$J235=""),0,IF(COUNTIF(Decisions!$A$5:$A$300,$J235)=0,1,0))</f>
        <v>0</v>
      </c>
      <c r="AB235" s="186" t="n">
        <f aca="false">IF(AND($F235="原始數據",$S235&lt;&gt;"Active"),1,0)</f>
        <v>0</v>
      </c>
      <c r="AC235" s="186" t="n">
        <f aca="false">IF(AND(ISNUMBER($K235),ISNUMBER($L235),ISNUMBER($Q235)),IF(OR($Q235&lt;MIN($K235,$L235),$Q235&gt;MAX($K235,$L235)),1,0),0)</f>
        <v>0</v>
      </c>
      <c r="AD235" s="186" t="n">
        <f aca="false">IF(AND(ISNUMBER($T235),$P235="高"),IF($T235=3,1,0),0)</f>
        <v>0</v>
      </c>
      <c r="AE235" s="186" t="n">
        <f aca="false">IF($S235="不存在",1,0)</f>
        <v>0</v>
      </c>
      <c r="AF235" s="35" t="str">
        <f aca="false">IF(OR($H235="—",$H235=""),"—",MATCH($H235,IDX_SrcID,0))</f>
        <v>—</v>
      </c>
      <c r="AG235" s="104" t="n">
        <f aca="false">IF(AND($P235="高",OR($AD235=1,$X235=1)),1,0)</f>
        <v>0</v>
      </c>
      <c r="AH235" s="104" t="n">
        <f aca="false">IF(AND($P235="高",$AG235=0,OR($F235&lt;&gt;"原始數據",$T235&lt;&gt;1)),1,0)</f>
        <v>0</v>
      </c>
      <c r="AI235" s="53" t="str">
        <f aca="false">IF(AND($P235="高",ISNUMBER($AF235)),INDEX(IDX_SrcDate,$AF235),"—")</f>
        <v>—</v>
      </c>
      <c r="AJ235" s="104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6" t="s">
        <v>3787</v>
      </c>
      <c r="B236" s="215" t="s">
        <v>3183</v>
      </c>
      <c r="C236" s="36" t="s">
        <v>3772</v>
      </c>
      <c r="D236" s="36" t="s">
        <v>3420</v>
      </c>
      <c r="E236" s="6" t="s">
        <v>321</v>
      </c>
      <c r="F236" s="36" t="s">
        <v>80</v>
      </c>
      <c r="G236" s="215" t="s">
        <v>3185</v>
      </c>
      <c r="H236" s="36" t="s">
        <v>587</v>
      </c>
      <c r="I236" s="6" t="s">
        <v>587</v>
      </c>
      <c r="J236" s="36" t="s">
        <v>587</v>
      </c>
      <c r="K236" s="217" t="n">
        <v>2</v>
      </c>
      <c r="L236" s="217" t="n">
        <v>4</v>
      </c>
      <c r="M236" s="36" t="s">
        <v>3788</v>
      </c>
      <c r="N236" s="216" t="str">
        <f aca="false">Serving!$F$12</f>
        <v>FP8 dispatch 1 B＋BF16 combine 2 B</v>
      </c>
      <c r="O236" s="6" t="s">
        <v>3574</v>
      </c>
      <c r="P236" s="215" t="s">
        <v>3188</v>
      </c>
      <c r="Q236" s="182" t="n">
        <f aca="false">Serving!C12</f>
        <v>3</v>
      </c>
      <c r="R236" s="36" t="s">
        <v>587</v>
      </c>
      <c r="S236" s="35" t="str">
        <f aca="false">IF(ISNUMBER($AF236),INDEX(IDX_SrcStat,$AF236),"—")</f>
        <v>—</v>
      </c>
      <c r="T236" s="35" t="str">
        <f aca="false">IF(ISNUMBER($AF236),INDEX(IDX_SrcGrade,$AF236),"—")</f>
        <v>—</v>
      </c>
      <c r="U236" s="35" t="s">
        <v>3189</v>
      </c>
      <c r="V236" s="186" t="n">
        <f aca="false">IF(AND($F236="原始數據",$U236&lt;&gt;"連結 SRC"),1,0)</f>
        <v>0</v>
      </c>
      <c r="W236" s="186" t="n">
        <f aca="false">IF(AND($F236="Analogy",OR($H236="—",$H236="")),1,0)</f>
        <v>0</v>
      </c>
      <c r="X236" s="186" t="n">
        <f aca="false">IF(AND(OR($F236="Analogy",$F236="Assumed"),$G236&lt;&gt;"低",$G236&lt;&gt;"高",NOT(ISNUMBER($K236)),NOT(ISNUMBER($L236)),OR($M236="—",$M236="")),1,0)</f>
        <v>0</v>
      </c>
      <c r="Y236" s="186" t="n">
        <f aca="false">IF(AND(OR($F236="Analogy",$F236="Assumed",$F236="Derived（待改公式）",$F236="Derived（公式）"),OR($N236="—",$N236="",$N236=0)),1,0)</f>
        <v>0</v>
      </c>
      <c r="Z236" s="186" t="n">
        <f aca="false">IF(AND($F236="Decision",OR($J236="—",$J236="")),1,0)</f>
        <v>0</v>
      </c>
      <c r="AA236" s="183" t="n">
        <f aca="false">IF(OR($J236="—",$J236=""),0,IF(COUNTIF(Decisions!$A$5:$A$300,$J236)=0,1,0))</f>
        <v>0</v>
      </c>
      <c r="AB236" s="186" t="n">
        <f aca="false">IF(AND($F236="原始數據",$S236&lt;&gt;"Active"),1,0)</f>
        <v>0</v>
      </c>
      <c r="AC236" s="186" t="n">
        <f aca="false">IF(AND(ISNUMBER($K236),ISNUMBER($L236),ISNUMBER($Q236)),IF(OR($Q236&lt;MIN($K236,$L236),$Q236&gt;MAX($K236,$L236)),1,0),0)</f>
        <v>0</v>
      </c>
      <c r="AD236" s="186" t="n">
        <f aca="false">IF(AND(ISNUMBER($T236),$P236="高"),IF($T236=3,1,0),0)</f>
        <v>0</v>
      </c>
      <c r="AE236" s="186" t="n">
        <f aca="false">IF($S236="不存在",1,0)</f>
        <v>0</v>
      </c>
      <c r="AF236" s="35" t="str">
        <f aca="false">IF(OR($H236="—",$H236=""),"—",MATCH($H236,IDX_SrcID,0))</f>
        <v>—</v>
      </c>
      <c r="AG236" s="104" t="n">
        <f aca="false">IF(AND($P236="高",OR($AD236=1,$X236=1)),1,0)</f>
        <v>0</v>
      </c>
      <c r="AH236" s="104" t="n">
        <f aca="false">IF(AND($P236="高",$AG236=0,OR($F236&lt;&gt;"原始數據",$T236&lt;&gt;1)),1,0)</f>
        <v>0</v>
      </c>
      <c r="AI236" s="53" t="str">
        <f aca="false">IF(AND($P236="高",ISNUMBER($AF236)),INDEX(IDX_SrcDate,$AF236),"—")</f>
        <v>—</v>
      </c>
      <c r="AJ236" s="104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6" t="s">
        <v>3789</v>
      </c>
      <c r="B237" s="215" t="s">
        <v>3183</v>
      </c>
      <c r="C237" s="36" t="s">
        <v>3772</v>
      </c>
      <c r="D237" s="36" t="s">
        <v>3438</v>
      </c>
      <c r="E237" s="6" t="s">
        <v>323</v>
      </c>
      <c r="F237" s="36" t="s">
        <v>80</v>
      </c>
      <c r="G237" s="215" t="s">
        <v>3185</v>
      </c>
      <c r="H237" s="36" t="s">
        <v>587</v>
      </c>
      <c r="I237" s="6" t="s">
        <v>587</v>
      </c>
      <c r="J237" s="36" t="s">
        <v>587</v>
      </c>
      <c r="K237" s="217" t="n">
        <v>0.5</v>
      </c>
      <c r="L237" s="217" t="n">
        <v>0.85</v>
      </c>
      <c r="M237" s="36" t="s">
        <v>3790</v>
      </c>
      <c r="N237" s="216" t="str">
        <f aca="false">Serving!$F$13</f>
        <v>區間 0.5–0.85</v>
      </c>
      <c r="O237" s="6" t="s">
        <v>3574</v>
      </c>
      <c r="P237" s="215" t="s">
        <v>3188</v>
      </c>
      <c r="Q237" s="177" t="n">
        <f aca="false">Serving!C13</f>
        <v>0.7</v>
      </c>
      <c r="R237" s="36" t="s">
        <v>587</v>
      </c>
      <c r="S237" s="35" t="str">
        <f aca="false">IF(ISNUMBER($AF237),INDEX(IDX_SrcStat,$AF237),"—")</f>
        <v>—</v>
      </c>
      <c r="T237" s="35" t="str">
        <f aca="false">IF(ISNUMBER($AF237),INDEX(IDX_SrcGrade,$AF237),"—")</f>
        <v>—</v>
      </c>
      <c r="U237" s="35" t="s">
        <v>3189</v>
      </c>
      <c r="V237" s="186" t="n">
        <f aca="false">IF(AND($F237="原始數據",$U237&lt;&gt;"連結 SRC"),1,0)</f>
        <v>0</v>
      </c>
      <c r="W237" s="186" t="n">
        <f aca="false">IF(AND($F237="Analogy",OR($H237="—",$H237="")),1,0)</f>
        <v>0</v>
      </c>
      <c r="X237" s="186" t="n">
        <f aca="false">IF(AND(OR($F237="Analogy",$F237="Assumed"),$G237&lt;&gt;"低",$G237&lt;&gt;"高",NOT(ISNUMBER($K237)),NOT(ISNUMBER($L237)),OR($M237="—",$M237="")),1,0)</f>
        <v>0</v>
      </c>
      <c r="Y237" s="186" t="n">
        <f aca="false">IF(AND(OR($F237="Analogy",$F237="Assumed",$F237="Derived（待改公式）",$F237="Derived（公式）"),OR($N237="—",$N237="",$N237=0)),1,0)</f>
        <v>0</v>
      </c>
      <c r="Z237" s="186" t="n">
        <f aca="false">IF(AND($F237="Decision",OR($J237="—",$J237="")),1,0)</f>
        <v>0</v>
      </c>
      <c r="AA237" s="183" t="n">
        <f aca="false">IF(OR($J237="—",$J237=""),0,IF(COUNTIF(Decisions!$A$5:$A$300,$J237)=0,1,0))</f>
        <v>0</v>
      </c>
      <c r="AB237" s="186" t="n">
        <f aca="false">IF(AND($F237="原始數據",$S237&lt;&gt;"Active"),1,0)</f>
        <v>0</v>
      </c>
      <c r="AC237" s="186" t="n">
        <f aca="false">IF(AND(ISNUMBER($K237),ISNUMBER($L237),ISNUMBER($Q237)),IF(OR($Q237&lt;MIN($K237,$L237),$Q237&gt;MAX($K237,$L237)),1,0),0)</f>
        <v>0</v>
      </c>
      <c r="AD237" s="186" t="n">
        <f aca="false">IF(AND(ISNUMBER($T237),$P237="高"),IF($T237=3,1,0),0)</f>
        <v>0</v>
      </c>
      <c r="AE237" s="186" t="n">
        <f aca="false">IF($S237="不存在",1,0)</f>
        <v>0</v>
      </c>
      <c r="AF237" s="35" t="str">
        <f aca="false">IF(OR($H237="—",$H237=""),"—",MATCH($H237,IDX_SrcID,0))</f>
        <v>—</v>
      </c>
      <c r="AG237" s="104" t="n">
        <f aca="false">IF(AND($P237="高",OR($AD237=1,$X237=1)),1,0)</f>
        <v>0</v>
      </c>
      <c r="AH237" s="104" t="n">
        <f aca="false">IF(AND($P237="高",$AG237=0,OR($F237&lt;&gt;"原始數據",$T237&lt;&gt;1)),1,0)</f>
        <v>0</v>
      </c>
      <c r="AI237" s="53" t="str">
        <f aca="false">IF(AND($P237="高",ISNUMBER($AF237)),INDEX(IDX_SrcDate,$AF237),"—")</f>
        <v>—</v>
      </c>
      <c r="AJ237" s="104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6" t="s">
        <v>3791</v>
      </c>
      <c r="B238" s="215" t="s">
        <v>3183</v>
      </c>
      <c r="C238" s="36" t="s">
        <v>3772</v>
      </c>
      <c r="D238" s="36" t="s">
        <v>3687</v>
      </c>
      <c r="E238" s="6" t="s">
        <v>325</v>
      </c>
      <c r="F238" s="36" t="s">
        <v>80</v>
      </c>
      <c r="G238" s="215" t="s">
        <v>3185</v>
      </c>
      <c r="H238" s="36" t="s">
        <v>587</v>
      </c>
      <c r="I238" s="6" t="s">
        <v>587</v>
      </c>
      <c r="J238" s="36" t="s">
        <v>587</v>
      </c>
      <c r="K238" s="217" t="n">
        <v>0.5</v>
      </c>
      <c r="L238" s="217" t="n">
        <v>0.85</v>
      </c>
      <c r="M238" s="36" t="s">
        <v>3790</v>
      </c>
      <c r="N238" s="216" t="str">
        <f aca="false">Serving!$F$14</f>
        <v>區間 0.5–0.85</v>
      </c>
      <c r="O238" s="6" t="s">
        <v>3574</v>
      </c>
      <c r="P238" s="215" t="s">
        <v>3188</v>
      </c>
      <c r="Q238" s="177" t="n">
        <f aca="false">Serving!C14</f>
        <v>0.7</v>
      </c>
      <c r="R238" s="36" t="s">
        <v>587</v>
      </c>
      <c r="S238" s="35" t="str">
        <f aca="false">IF(ISNUMBER($AF238),INDEX(IDX_SrcStat,$AF238),"—")</f>
        <v>—</v>
      </c>
      <c r="T238" s="35" t="str">
        <f aca="false">IF(ISNUMBER($AF238),INDEX(IDX_SrcGrade,$AF238),"—")</f>
        <v>—</v>
      </c>
      <c r="U238" s="35" t="s">
        <v>3189</v>
      </c>
      <c r="V238" s="186" t="n">
        <f aca="false">IF(AND($F238="原始數據",$U238&lt;&gt;"連結 SRC"),1,0)</f>
        <v>0</v>
      </c>
      <c r="W238" s="186" t="n">
        <f aca="false">IF(AND($F238="Analogy",OR($H238="—",$H238="")),1,0)</f>
        <v>0</v>
      </c>
      <c r="X238" s="186" t="n">
        <f aca="false">IF(AND(OR($F238="Analogy",$F238="Assumed"),$G238&lt;&gt;"低",$G238&lt;&gt;"高",NOT(ISNUMBER($K238)),NOT(ISNUMBER($L238)),OR($M238="—",$M238="")),1,0)</f>
        <v>0</v>
      </c>
      <c r="Y238" s="186" t="n">
        <f aca="false">IF(AND(OR($F238="Analogy",$F238="Assumed",$F238="Derived（待改公式）",$F238="Derived（公式）"),OR($N238="—",$N238="",$N238=0)),1,0)</f>
        <v>0</v>
      </c>
      <c r="Z238" s="186" t="n">
        <f aca="false">IF(AND($F238="Decision",OR($J238="—",$J238="")),1,0)</f>
        <v>0</v>
      </c>
      <c r="AA238" s="183" t="n">
        <f aca="false">IF(OR($J238="—",$J238=""),0,IF(COUNTIF(Decisions!$A$5:$A$300,$J238)=0,1,0))</f>
        <v>0</v>
      </c>
      <c r="AB238" s="186" t="n">
        <f aca="false">IF(AND($F238="原始數據",$S238&lt;&gt;"Active"),1,0)</f>
        <v>0</v>
      </c>
      <c r="AC238" s="186" t="n">
        <f aca="false">IF(AND(ISNUMBER($K238),ISNUMBER($L238),ISNUMBER($Q238)),IF(OR($Q238&lt;MIN($K238,$L238),$Q238&gt;MAX($K238,$L238)),1,0),0)</f>
        <v>0</v>
      </c>
      <c r="AD238" s="186" t="n">
        <f aca="false">IF(AND(ISNUMBER($T238),$P238="高"),IF($T238=3,1,0),0)</f>
        <v>0</v>
      </c>
      <c r="AE238" s="186" t="n">
        <f aca="false">IF($S238="不存在",1,0)</f>
        <v>0</v>
      </c>
      <c r="AF238" s="35" t="str">
        <f aca="false">IF(OR($H238="—",$H238=""),"—",MATCH($H238,IDX_SrcID,0))</f>
        <v>—</v>
      </c>
      <c r="AG238" s="104" t="n">
        <f aca="false">IF(AND($P238="高",OR($AD238=1,$X238=1)),1,0)</f>
        <v>0</v>
      </c>
      <c r="AH238" s="104" t="n">
        <f aca="false">IF(AND($P238="高",$AG238=0,OR($F238&lt;&gt;"原始數據",$T238&lt;&gt;1)),1,0)</f>
        <v>0</v>
      </c>
      <c r="AI238" s="53" t="str">
        <f aca="false">IF(AND($P238="高",ISNUMBER($AF238)),INDEX(IDX_SrcDate,$AF238),"—")</f>
        <v>—</v>
      </c>
      <c r="AJ238" s="104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6" t="s">
        <v>3792</v>
      </c>
      <c r="B239" s="215" t="s">
        <v>3183</v>
      </c>
      <c r="C239" s="36" t="s">
        <v>3772</v>
      </c>
      <c r="D239" s="36" t="s">
        <v>3691</v>
      </c>
      <c r="E239" s="19" t="s">
        <v>3793</v>
      </c>
      <c r="F239" s="36" t="s">
        <v>80</v>
      </c>
      <c r="G239" s="215" t="s">
        <v>3185</v>
      </c>
      <c r="H239" s="36" t="s">
        <v>587</v>
      </c>
      <c r="I239" s="6" t="s">
        <v>587</v>
      </c>
      <c r="J239" s="36" t="s">
        <v>587</v>
      </c>
      <c r="K239" s="217" t="n">
        <v>0.05</v>
      </c>
      <c r="L239" s="217" t="n">
        <v>0.4</v>
      </c>
      <c r="M239" s="36" t="s">
        <v>3794</v>
      </c>
      <c r="N239" s="216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587</v>
      </c>
      <c r="P239" s="215" t="s">
        <v>1115</v>
      </c>
      <c r="Q239" s="175" t="n">
        <f aca="false">Serving!C15</f>
        <v>0.1</v>
      </c>
      <c r="R239" s="36" t="s">
        <v>587</v>
      </c>
      <c r="S239" s="35" t="str">
        <f aca="false">IF(ISNUMBER($AF239),INDEX(IDX_SrcStat,$AF239),"—")</f>
        <v>—</v>
      </c>
      <c r="T239" s="35" t="str">
        <f aca="false">IF(ISNUMBER($AF239),INDEX(IDX_SrcGrade,$AF239),"—")</f>
        <v>—</v>
      </c>
      <c r="U239" s="35" t="s">
        <v>3189</v>
      </c>
      <c r="V239" s="186" t="n">
        <f aca="false">IF(AND($F239="原始數據",$U239&lt;&gt;"連結 SRC"),1,0)</f>
        <v>0</v>
      </c>
      <c r="W239" s="186" t="n">
        <f aca="false">IF(AND($F239="Analogy",OR($H239="—",$H239="")),1,0)</f>
        <v>0</v>
      </c>
      <c r="X239" s="186" t="n">
        <f aca="false">IF(AND(OR($F239="Analogy",$F239="Assumed"),$G239&lt;&gt;"低",$G239&lt;&gt;"高",NOT(ISNUMBER($K239)),NOT(ISNUMBER($L239)),OR($M239="—",$M239="")),1,0)</f>
        <v>0</v>
      </c>
      <c r="Y239" s="186" t="n">
        <f aca="false">IF(AND(OR($F239="Analogy",$F239="Assumed",$F239="Derived（待改公式）",$F239="Derived（公式）"),OR($N239="—",$N239="",$N239=0)),1,0)</f>
        <v>0</v>
      </c>
      <c r="Z239" s="186" t="n">
        <f aca="false">IF(AND($F239="Decision",OR($J239="—",$J239="")),1,0)</f>
        <v>0</v>
      </c>
      <c r="AA239" s="183" t="n">
        <f aca="false">IF(OR($J239="—",$J239=""),0,IF(COUNTIF(Decisions!$A$5:$A$300,$J239)=0,1,0))</f>
        <v>0</v>
      </c>
      <c r="AB239" s="186" t="n">
        <f aca="false">IF(AND($F239="原始數據",$S239&lt;&gt;"Active"),1,0)</f>
        <v>0</v>
      </c>
      <c r="AC239" s="186" t="n">
        <f aca="false">IF(AND(ISNUMBER($K239),ISNUMBER($L239),ISNUMBER($Q239)),IF(OR($Q239&lt;MIN($K239,$L239),$Q239&gt;MAX($K239,$L239)),1,0),0)</f>
        <v>0</v>
      </c>
      <c r="AD239" s="186" t="n">
        <f aca="false">IF(AND(ISNUMBER($T239),$P239="高"),IF($T239=3,1,0),0)</f>
        <v>0</v>
      </c>
      <c r="AE239" s="186" t="n">
        <f aca="false">IF($S239="不存在",1,0)</f>
        <v>0</v>
      </c>
      <c r="AF239" s="35" t="str">
        <f aca="false">IF(OR($H239="—",$H239=""),"—",MATCH($H239,IDX_SrcID,0))</f>
        <v>—</v>
      </c>
      <c r="AG239" s="104" t="n">
        <f aca="false">IF(AND($P239="高",OR($AD239=1,$X239=1)),1,0)</f>
        <v>0</v>
      </c>
      <c r="AH239" s="104" t="n">
        <f aca="false">IF(AND($P239="高",$AG239=0,OR($F239&lt;&gt;"原始數據",$T239&lt;&gt;1)),1,0)</f>
        <v>0</v>
      </c>
      <c r="AI239" s="53" t="str">
        <f aca="false">IF(AND($P239="高",ISNUMBER($AF239)),INDEX(IDX_SrcDate,$AF239),"—")</f>
        <v>—</v>
      </c>
      <c r="AJ239" s="104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6" t="s">
        <v>3795</v>
      </c>
      <c r="B240" s="215" t="s">
        <v>3183</v>
      </c>
      <c r="C240" s="36" t="s">
        <v>3772</v>
      </c>
      <c r="D240" s="36" t="s">
        <v>3718</v>
      </c>
      <c r="E240" s="19" t="s">
        <v>3796</v>
      </c>
      <c r="F240" s="36" t="s">
        <v>80</v>
      </c>
      <c r="G240" s="215" t="s">
        <v>3185</v>
      </c>
      <c r="H240" s="36" t="s">
        <v>587</v>
      </c>
      <c r="I240" s="6" t="s">
        <v>587</v>
      </c>
      <c r="J240" s="36" t="s">
        <v>3797</v>
      </c>
      <c r="K240" s="217" t="n">
        <v>0.4</v>
      </c>
      <c r="L240" s="217" t="n">
        <v>0.8</v>
      </c>
      <c r="M240" s="36" t="s">
        <v>3798</v>
      </c>
      <c r="N240" s="216" t="str">
        <f aca="false">Serving!$F$17&amp;" ｜v5.29：進 L1_FleetBreakeven／L1_FleetMargin，X14 (c)"</f>
        <v>J6：Andy 尚未給值，暫沿用 OpenAI v0.5 的 60%（區間 40–80%）。Unit_Cost 同時輸出 100% 版 ｜v5.29：進 L1_FleetBreakeven／L1_FleetMargin，X14 (c)</v>
      </c>
      <c r="O240" s="6" t="s">
        <v>587</v>
      </c>
      <c r="P240" s="215" t="s">
        <v>1116</v>
      </c>
      <c r="Q240" s="177" t="n">
        <f aca="false">Serving!C17</f>
        <v>0.6</v>
      </c>
      <c r="R240" s="36" t="s">
        <v>587</v>
      </c>
      <c r="S240" s="35" t="str">
        <f aca="false">IF(ISNUMBER($AF240),INDEX(IDX_SrcStat,$AF240),"—")</f>
        <v>—</v>
      </c>
      <c r="T240" s="35" t="str">
        <f aca="false">IF(ISNUMBER($AF240),INDEX(IDX_SrcGrade,$AF240),"—")</f>
        <v>—</v>
      </c>
      <c r="U240" s="35" t="s">
        <v>3189</v>
      </c>
      <c r="V240" s="186" t="n">
        <f aca="false">IF(AND($F240="原始數據",$U240&lt;&gt;"連結 SRC"),1,0)</f>
        <v>0</v>
      </c>
      <c r="W240" s="186" t="n">
        <f aca="false">IF(AND($F240="Analogy",OR($H240="—",$H240="")),1,0)</f>
        <v>0</v>
      </c>
      <c r="X240" s="186" t="n">
        <f aca="false">IF(AND(OR($F240="Analogy",$F240="Assumed"),$G240&lt;&gt;"低",$G240&lt;&gt;"高",NOT(ISNUMBER($K240)),NOT(ISNUMBER($L240)),OR($M240="—",$M240="")),1,0)</f>
        <v>0</v>
      </c>
      <c r="Y240" s="186" t="n">
        <f aca="false">IF(AND(OR($F240="Analogy",$F240="Assumed",$F240="Derived（待改公式）",$F240="Derived（公式）"),OR($N240="—",$N240="",$N240=0)),1,0)</f>
        <v>0</v>
      </c>
      <c r="Z240" s="186" t="n">
        <f aca="false">IF(AND($F240="Decision",OR($J240="—",$J240="")),1,0)</f>
        <v>0</v>
      </c>
      <c r="AA240" s="183" t="n">
        <f aca="false">IF(OR($J240="—",$J240=""),0,IF(COUNTIF(Decisions!$A$5:$A$300,$J240)=0,1,0))</f>
        <v>0</v>
      </c>
      <c r="AB240" s="186" t="n">
        <f aca="false">IF(AND($F240="原始數據",$S240&lt;&gt;"Active"),1,0)</f>
        <v>0</v>
      </c>
      <c r="AC240" s="186" t="n">
        <f aca="false">IF(AND(ISNUMBER($K240),ISNUMBER($L240),ISNUMBER($Q240)),IF(OR($Q240&lt;MIN($K240,$L240),$Q240&gt;MAX($K240,$L240)),1,0),0)</f>
        <v>0</v>
      </c>
      <c r="AD240" s="186" t="n">
        <f aca="false">IF(AND(ISNUMBER($T240),$P240="高"),IF($T240=3,1,0),0)</f>
        <v>0</v>
      </c>
      <c r="AE240" s="186" t="n">
        <f aca="false">IF($S240="不存在",1,0)</f>
        <v>0</v>
      </c>
      <c r="AF240" s="35" t="str">
        <f aca="false">IF(OR($H240="—",$H240=""),"—",MATCH($H240,IDX_SrcID,0))</f>
        <v>—</v>
      </c>
      <c r="AG240" s="104" t="n">
        <f aca="false">IF(AND($P240="高",OR($AD240=1,$X240=1)),1,0)</f>
        <v>0</v>
      </c>
      <c r="AH240" s="104" t="n">
        <f aca="false">IF(AND($P240="高",$AG240=0,OR($F240&lt;&gt;"原始數據",$T240&lt;&gt;1)),1,0)</f>
        <v>1</v>
      </c>
      <c r="AI240" s="53" t="str">
        <f aca="false">IF(AND($P240="高",ISNUMBER($AF240)),INDEX(IDX_SrcDate,$AF240),"—")</f>
        <v>—</v>
      </c>
      <c r="AJ240" s="104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6" t="s">
        <v>3799</v>
      </c>
      <c r="B241" s="215" t="s">
        <v>3183</v>
      </c>
      <c r="C241" s="36" t="s">
        <v>3772</v>
      </c>
      <c r="D241" s="36" t="s">
        <v>3700</v>
      </c>
      <c r="E241" s="19" t="s">
        <v>333</v>
      </c>
      <c r="F241" s="36" t="s">
        <v>80</v>
      </c>
      <c r="G241" s="215" t="s">
        <v>3185</v>
      </c>
      <c r="H241" s="36" t="s">
        <v>587</v>
      </c>
      <c r="I241" s="6" t="s">
        <v>587</v>
      </c>
      <c r="J241" s="36" t="s">
        <v>3797</v>
      </c>
      <c r="K241" s="217" t="n">
        <v>0.7</v>
      </c>
      <c r="L241" s="217" t="n">
        <v>1</v>
      </c>
      <c r="M241" s="36" t="s">
        <v>3800</v>
      </c>
      <c r="N241" s="216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｜v5.29：進 L1_FleetBreakeven／L1_FleetMargin，X14 (c)</v>
      </c>
      <c r="O241" s="6" t="s">
        <v>587</v>
      </c>
      <c r="P241" s="215" t="s">
        <v>1116</v>
      </c>
      <c r="Q241" s="175" t="n">
        <f aca="false">Serving!C18</f>
        <v>1</v>
      </c>
      <c r="R241" s="36" t="s">
        <v>587</v>
      </c>
      <c r="S241" s="35" t="str">
        <f aca="false">IF(ISNUMBER($AF241),INDEX(IDX_SrcStat,$AF241),"—")</f>
        <v>—</v>
      </c>
      <c r="T241" s="35" t="str">
        <f aca="false">IF(ISNUMBER($AF241),INDEX(IDX_SrcGrade,$AF241),"—")</f>
        <v>—</v>
      </c>
      <c r="U241" s="35" t="s">
        <v>3189</v>
      </c>
      <c r="V241" s="186" t="n">
        <f aca="false">IF(AND($F241="原始數據",$U241&lt;&gt;"連結 SRC"),1,0)</f>
        <v>0</v>
      </c>
      <c r="W241" s="186" t="n">
        <f aca="false">IF(AND($F241="Analogy",OR($H241="—",$H241="")),1,0)</f>
        <v>0</v>
      </c>
      <c r="X241" s="186" t="n">
        <f aca="false">IF(AND(OR($F241="Analogy",$F241="Assumed"),$G241&lt;&gt;"低",$G241&lt;&gt;"高",NOT(ISNUMBER($K241)),NOT(ISNUMBER($L241)),OR($M241="—",$M241="")),1,0)</f>
        <v>0</v>
      </c>
      <c r="Y241" s="186" t="n">
        <f aca="false">IF(AND(OR($F241="Analogy",$F241="Assumed",$F241="Derived（待改公式）",$F241="Derived（公式）"),OR($N241="—",$N241="",$N241=0)),1,0)</f>
        <v>0</v>
      </c>
      <c r="Z241" s="186" t="n">
        <f aca="false">IF(AND($F241="Decision",OR($J241="—",$J241="")),1,0)</f>
        <v>0</v>
      </c>
      <c r="AA241" s="183" t="n">
        <f aca="false">IF(OR($J241="—",$J241=""),0,IF(COUNTIF(Decisions!$A$5:$A$300,$J241)=0,1,0))</f>
        <v>0</v>
      </c>
      <c r="AB241" s="186" t="n">
        <f aca="false">IF(AND($F241="原始數據",$S241&lt;&gt;"Active"),1,0)</f>
        <v>0</v>
      </c>
      <c r="AC241" s="186" t="n">
        <f aca="false">IF(AND(ISNUMBER($K241),ISNUMBER($L241),ISNUMBER($Q241)),IF(OR($Q241&lt;MIN($K241,$L241),$Q241&gt;MAX($K241,$L241)),1,0),0)</f>
        <v>0</v>
      </c>
      <c r="AD241" s="186" t="n">
        <f aca="false">IF(AND(ISNUMBER($T241),$P241="高"),IF($T241=3,1,0),0)</f>
        <v>0</v>
      </c>
      <c r="AE241" s="186" t="n">
        <f aca="false">IF($S241="不存在",1,0)</f>
        <v>0</v>
      </c>
      <c r="AF241" s="35" t="str">
        <f aca="false">IF(OR($H241="—",$H241=""),"—",MATCH($H241,IDX_SrcID,0))</f>
        <v>—</v>
      </c>
      <c r="AG241" s="104" t="n">
        <f aca="false">IF(AND($P241="高",OR($AD241=1,$X241=1)),1,0)</f>
        <v>0</v>
      </c>
      <c r="AH241" s="104" t="n">
        <f aca="false">IF(AND($P241="高",$AG241=0,OR($F241&lt;&gt;"原始數據",$T241&lt;&gt;1)),1,0)</f>
        <v>1</v>
      </c>
      <c r="AI241" s="53" t="str">
        <f aca="false">IF(AND($P241="高",ISNUMBER($AF241)),INDEX(IDX_SrcDate,$AF241),"—")</f>
        <v>—</v>
      </c>
      <c r="AJ241" s="104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6" t="s">
        <v>3801</v>
      </c>
      <c r="B242" s="215" t="s">
        <v>3183</v>
      </c>
      <c r="C242" s="36" t="s">
        <v>3772</v>
      </c>
      <c r="D242" s="36" t="s">
        <v>3696</v>
      </c>
      <c r="E242" s="19" t="s">
        <v>3802</v>
      </c>
      <c r="F242" s="36" t="s">
        <v>72</v>
      </c>
      <c r="G242" s="215" t="s">
        <v>3185</v>
      </c>
      <c r="H242" s="36" t="s">
        <v>587</v>
      </c>
      <c r="I242" s="6" t="s">
        <v>587</v>
      </c>
      <c r="J242" s="36" t="s">
        <v>3803</v>
      </c>
      <c r="K242" s="215"/>
      <c r="L242" s="215"/>
      <c r="M242" s="36" t="s">
        <v>587</v>
      </c>
      <c r="N242" s="6" t="s">
        <v>3804</v>
      </c>
      <c r="O242" s="6" t="s">
        <v>587</v>
      </c>
      <c r="P242" s="215" t="s">
        <v>3188</v>
      </c>
      <c r="Q242" s="183" t="n">
        <f aca="false">Serving!C16</f>
        <v>1</v>
      </c>
      <c r="R242" s="36" t="s">
        <v>587</v>
      </c>
      <c r="S242" s="35" t="str">
        <f aca="false">IF(ISNUMBER($AF242),INDEX(IDX_SrcStat,$AF242),"—")</f>
        <v>—</v>
      </c>
      <c r="T242" s="35" t="str">
        <f aca="false">IF(ISNUMBER($AF242),INDEX(IDX_SrcGrade,$AF242),"—")</f>
        <v>—</v>
      </c>
      <c r="U242" s="35" t="s">
        <v>3189</v>
      </c>
      <c r="V242" s="186" t="n">
        <f aca="false">IF(AND($F242="原始數據",$U242&lt;&gt;"連結 SRC"),1,0)</f>
        <v>0</v>
      </c>
      <c r="W242" s="186" t="n">
        <f aca="false">IF(AND($F242="Analogy",OR($H242="—",$H242="")),1,0)</f>
        <v>0</v>
      </c>
      <c r="X242" s="186" t="n">
        <f aca="false">IF(AND(OR($F242="Analogy",$F242="Assumed"),$G242&lt;&gt;"低",$G242&lt;&gt;"高",NOT(ISNUMBER($K242)),NOT(ISNUMBER($L242)),OR($M242="—",$M242="")),1,0)</f>
        <v>0</v>
      </c>
      <c r="Y242" s="186" t="n">
        <f aca="false">IF(AND(OR($F242="Analogy",$F242="Assumed",$F242="Derived（待改公式）",$F242="Derived（公式）"),OR($N242="—",$N242="",$N242=0)),1,0)</f>
        <v>0</v>
      </c>
      <c r="Z242" s="186" t="n">
        <f aca="false">IF(AND($F242="Decision",OR($J242="—",$J242="")),1,0)</f>
        <v>0</v>
      </c>
      <c r="AA242" s="183" t="n">
        <f aca="false">IF(OR($J242="—",$J242=""),0,IF(COUNTIF(Decisions!$A$5:$A$300,$J242)=0,1,0))</f>
        <v>0</v>
      </c>
      <c r="AB242" s="186" t="n">
        <f aca="false">IF(AND($F242="原始數據",$S242&lt;&gt;"Active"),1,0)</f>
        <v>0</v>
      </c>
      <c r="AC242" s="186" t="n">
        <f aca="false">IF(AND(ISNUMBER($K242),ISNUMBER($L242),ISNUMBER($Q242)),IF(OR($Q242&lt;MIN($K242,$L242),$Q242&gt;MAX($K242,$L242)),1,0),0)</f>
        <v>0</v>
      </c>
      <c r="AD242" s="186" t="n">
        <f aca="false">IF(AND(ISNUMBER($T242),$P242="高"),IF($T242=3,1,0),0)</f>
        <v>0</v>
      </c>
      <c r="AE242" s="186" t="n">
        <f aca="false">IF($S242="不存在",1,0)</f>
        <v>0</v>
      </c>
      <c r="AF242" s="35" t="str">
        <f aca="false">IF(OR($H242="—",$H242=""),"—",MATCH($H242,IDX_SrcID,0))</f>
        <v>—</v>
      </c>
      <c r="AG242" s="104" t="n">
        <f aca="false">IF(AND($P242="高",OR($AD242=1,$X242=1)),1,0)</f>
        <v>0</v>
      </c>
      <c r="AH242" s="104" t="n">
        <f aca="false">IF(AND($P242="高",$AG242=0,OR($F242&lt;&gt;"原始數據",$T242&lt;&gt;1)),1,0)</f>
        <v>0</v>
      </c>
      <c r="AI242" s="53" t="str">
        <f aca="false">IF(AND($P242="高",ISNUMBER($AF242)),INDEX(IDX_SrcDate,$AF242),"—")</f>
        <v>—</v>
      </c>
      <c r="AJ242" s="104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6" t="s">
        <v>3805</v>
      </c>
      <c r="B243" s="215" t="s">
        <v>3183</v>
      </c>
      <c r="C243" s="36" t="s">
        <v>3772</v>
      </c>
      <c r="D243" s="36" t="s">
        <v>3758</v>
      </c>
      <c r="E243" s="6" t="s">
        <v>337</v>
      </c>
      <c r="F243" s="215" t="s">
        <v>298</v>
      </c>
      <c r="G243" s="215" t="s">
        <v>3185</v>
      </c>
      <c r="H243" s="36" t="s">
        <v>3806</v>
      </c>
      <c r="I243" s="19" t="s">
        <v>3220</v>
      </c>
      <c r="J243" s="36" t="s">
        <v>3807</v>
      </c>
      <c r="K243" s="215"/>
      <c r="L243" s="215"/>
      <c r="M243" s="36" t="s">
        <v>587</v>
      </c>
      <c r="N243" s="19" t="s">
        <v>3318</v>
      </c>
      <c r="O243" s="6" t="s">
        <v>587</v>
      </c>
      <c r="P243" s="215" t="s">
        <v>1116</v>
      </c>
      <c r="Q243" s="41" t="n">
        <f aca="false">Serving!C21</f>
        <v>120</v>
      </c>
      <c r="R243" s="185" t="n">
        <f aca="false">SRC_PERF_018</f>
        <v>120</v>
      </c>
      <c r="S243" s="35" t="str">
        <f aca="false">IF(ISNUMBER($AF243),INDEX(IDX_SrcStat,$AF243),"—")</f>
        <v>Active</v>
      </c>
      <c r="T243" s="35" t="n">
        <f aca="false">IF(ISNUMBER($AF243),INDEX(IDX_SrcGrade,$AF243),"—")</f>
        <v>1</v>
      </c>
      <c r="U243" s="35" t="s">
        <v>3222</v>
      </c>
      <c r="V243" s="186" t="n">
        <f aca="false">IF(AND($F243="原始數據",$U243&lt;&gt;"連結 SRC"),1,0)</f>
        <v>0</v>
      </c>
      <c r="W243" s="186" t="n">
        <f aca="false">IF(AND($F243="Analogy",OR($H243="—",$H243="")),1,0)</f>
        <v>0</v>
      </c>
      <c r="X243" s="186" t="n">
        <f aca="false">IF(AND(OR($F243="Analogy",$F243="Assumed"),$G243&lt;&gt;"低",$G243&lt;&gt;"高",NOT(ISNUMBER($K243)),NOT(ISNUMBER($L243)),OR($M243="—",$M243="")),1,0)</f>
        <v>0</v>
      </c>
      <c r="Y243" s="186" t="n">
        <f aca="false">IF(AND(OR($F243="Analogy",$F243="Assumed",$F243="Derived（待改公式）",$F243="Derived（公式）"),OR($N243="—",$N243="",$N243=0)),1,0)</f>
        <v>0</v>
      </c>
      <c r="Z243" s="186" t="n">
        <f aca="false">IF(AND($F243="Decision",OR($J243="—",$J243="")),1,0)</f>
        <v>0</v>
      </c>
      <c r="AA243" s="183" t="n">
        <f aca="false">IF(OR($J243="—",$J243=""),0,IF(COUNTIF(Decisions!$A$5:$A$300,$J243)=0,1,0))</f>
        <v>0</v>
      </c>
      <c r="AB243" s="186" t="n">
        <f aca="false">IF(AND($F243="原始數據",$S243&lt;&gt;"Active"),1,0)</f>
        <v>0</v>
      </c>
      <c r="AC243" s="186" t="n">
        <f aca="false">IF(AND(ISNUMBER($K243),ISNUMBER($L243),ISNUMBER($Q243)),IF(OR($Q243&lt;MIN($K243,$L243),$Q243&gt;MAX($K243,$L243)),1,0),0)</f>
        <v>0</v>
      </c>
      <c r="AD243" s="186" t="n">
        <f aca="false">IF(AND(ISNUMBER($T243),$P243="高"),IF($T243=3,1,0),0)</f>
        <v>0</v>
      </c>
      <c r="AE243" s="186" t="n">
        <f aca="false">IF($S243="不存在",1,0)</f>
        <v>0</v>
      </c>
      <c r="AF243" s="35" t="n">
        <f aca="false">IF(OR($H243="—",$H243=""),"—",MATCH($H243,IDX_SrcID,0))</f>
        <v>306</v>
      </c>
      <c r="AG243" s="104" t="n">
        <f aca="false">IF(AND($P243="高",OR($AD243=1,$X243=1)),1,0)</f>
        <v>0</v>
      </c>
      <c r="AH243" s="104" t="n">
        <f aca="false">IF(AND($P243="高",$AG243=0,OR($F243&lt;&gt;"原始數據",$T243&lt;&gt;1)),1,0)</f>
        <v>0</v>
      </c>
      <c r="AI243" s="53" t="str">
        <f aca="false">IF(AND($P243="高",ISNUMBER($AF243)),INDEX(IDX_SrcDate,$AF243),"—")</f>
        <v>—</v>
      </c>
      <c r="AJ243" s="104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6" t="s">
        <v>3808</v>
      </c>
      <c r="B244" s="215" t="s">
        <v>3183</v>
      </c>
      <c r="C244" s="36" t="s">
        <v>3772</v>
      </c>
      <c r="D244" s="36" t="s">
        <v>3266</v>
      </c>
      <c r="E244" s="6" t="s">
        <v>337</v>
      </c>
      <c r="F244" s="36" t="s">
        <v>72</v>
      </c>
      <c r="G244" s="215" t="s">
        <v>3185</v>
      </c>
      <c r="H244" s="36" t="s">
        <v>3809</v>
      </c>
      <c r="I244" s="19" t="s">
        <v>3810</v>
      </c>
      <c r="J244" s="36" t="s">
        <v>3807</v>
      </c>
      <c r="K244" s="215"/>
      <c r="L244" s="215"/>
      <c r="M244" s="36" t="s">
        <v>587</v>
      </c>
      <c r="N244" s="6" t="s">
        <v>3811</v>
      </c>
      <c r="O244" s="6" t="s">
        <v>587</v>
      </c>
      <c r="P244" s="215" t="s">
        <v>1116</v>
      </c>
      <c r="Q244" s="41" t="n">
        <f aca="false">Serving!D21</f>
        <v>65</v>
      </c>
      <c r="R244" s="185" t="n">
        <f aca="false">SRC_PERF_019</f>
        <v>68</v>
      </c>
      <c r="S244" s="35" t="str">
        <f aca="false">IF(ISNUMBER($AF244),INDEX(IDX_SrcStat,$AF244),"—")</f>
        <v>Active</v>
      </c>
      <c r="T244" s="35" t="n">
        <f aca="false">IF(ISNUMBER($AF244),INDEX(IDX_SrcGrade,$AF244),"—")</f>
        <v>1</v>
      </c>
      <c r="U244" s="35" t="s">
        <v>3189</v>
      </c>
      <c r="V244" s="186" t="n">
        <f aca="false">IF(AND($F244="原始數據",$U244&lt;&gt;"連結 SRC"),1,0)</f>
        <v>0</v>
      </c>
      <c r="W244" s="186" t="n">
        <f aca="false">IF(AND($F244="Analogy",OR($H244="—",$H244="")),1,0)</f>
        <v>0</v>
      </c>
      <c r="X244" s="186" t="n">
        <f aca="false">IF(AND(OR($F244="Analogy",$F244="Assumed"),$G244&lt;&gt;"低",$G244&lt;&gt;"高",NOT(ISNUMBER($K244)),NOT(ISNUMBER($L244)),OR($M244="—",$M244="")),1,0)</f>
        <v>0</v>
      </c>
      <c r="Y244" s="186" t="n">
        <f aca="false">IF(AND(OR($F244="Analogy",$F244="Assumed",$F244="Derived（待改公式）",$F244="Derived（公式）"),OR($N244="—",$N244="",$N244=0)),1,0)</f>
        <v>0</v>
      </c>
      <c r="Z244" s="186" t="n">
        <f aca="false">IF(AND($F244="Decision",OR($J244="—",$J244="")),1,0)</f>
        <v>0</v>
      </c>
      <c r="AA244" s="183" t="n">
        <f aca="false">IF(OR($J244="—",$J244=""),0,IF(COUNTIF(Decisions!$A$5:$A$300,$J244)=0,1,0))</f>
        <v>0</v>
      </c>
      <c r="AB244" s="186" t="n">
        <f aca="false">IF(AND($F244="原始數據",$S244&lt;&gt;"Active"),1,0)</f>
        <v>0</v>
      </c>
      <c r="AC244" s="186" t="n">
        <f aca="false">IF(AND(ISNUMBER($K244),ISNUMBER($L244),ISNUMBER($Q244)),IF(OR($Q244&lt;MIN($K244,$L244),$Q244&gt;MAX($K244,$L244)),1,0),0)</f>
        <v>0</v>
      </c>
      <c r="AD244" s="186" t="n">
        <f aca="false">IF(AND(ISNUMBER($T244),$P244="高"),IF($T244=3,1,0),0)</f>
        <v>0</v>
      </c>
      <c r="AE244" s="186" t="n">
        <f aca="false">IF($S244="不存在",1,0)</f>
        <v>0</v>
      </c>
      <c r="AF244" s="35" t="n">
        <f aca="false">IF(OR($H244="—",$H244=""),"—",MATCH($H244,IDX_SrcID,0))</f>
        <v>307</v>
      </c>
      <c r="AG244" s="104" t="n">
        <f aca="false">IF(AND($P244="高",OR($AD244=1,$X244=1)),1,0)</f>
        <v>0</v>
      </c>
      <c r="AH244" s="104" t="n">
        <f aca="false">IF(AND($P244="高",$AG244=0,OR($F244&lt;&gt;"原始數據",$T244&lt;&gt;1)),1,0)</f>
        <v>1</v>
      </c>
      <c r="AI244" s="53" t="str">
        <f aca="false">IF(AND($P244="高",ISNUMBER($AF244)),INDEX(IDX_SrcDate,$AF244),"—")</f>
        <v>—</v>
      </c>
      <c r="AJ244" s="104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6" t="s">
        <v>3812</v>
      </c>
      <c r="B245" s="215" t="s">
        <v>3183</v>
      </c>
      <c r="C245" s="36" t="s">
        <v>3772</v>
      </c>
      <c r="D245" s="36" t="s">
        <v>3263</v>
      </c>
      <c r="E245" s="6" t="s">
        <v>337</v>
      </c>
      <c r="F245" s="36" t="s">
        <v>72</v>
      </c>
      <c r="G245" s="215" t="s">
        <v>3185</v>
      </c>
      <c r="H245" s="36" t="s">
        <v>3813</v>
      </c>
      <c r="I245" s="19" t="s">
        <v>3814</v>
      </c>
      <c r="J245" s="36" t="s">
        <v>3807</v>
      </c>
      <c r="K245" s="215"/>
      <c r="L245" s="215"/>
      <c r="M245" s="36" t="s">
        <v>587</v>
      </c>
      <c r="N245" s="6" t="s">
        <v>3815</v>
      </c>
      <c r="O245" s="6" t="s">
        <v>587</v>
      </c>
      <c r="P245" s="215" t="s">
        <v>1116</v>
      </c>
      <c r="Q245" s="41" t="n">
        <f aca="false">Serving!E21</f>
        <v>55</v>
      </c>
      <c r="R245" s="185" t="n">
        <f aca="false">SRC_PERF_020_Lo</f>
        <v>52</v>
      </c>
      <c r="S245" s="35" t="str">
        <f aca="false">IF(ISNUMBER($AF245),INDEX(IDX_SrcStat,$AF245),"—")</f>
        <v>Active</v>
      </c>
      <c r="T245" s="35" t="n">
        <f aca="false">IF(ISNUMBER($AF245),INDEX(IDX_SrcGrade,$AF245),"—")</f>
        <v>1</v>
      </c>
      <c r="U245" s="35" t="s">
        <v>3189</v>
      </c>
      <c r="V245" s="186" t="n">
        <f aca="false">IF(AND($F245="原始數據",$U245&lt;&gt;"連結 SRC"),1,0)</f>
        <v>0</v>
      </c>
      <c r="W245" s="186" t="n">
        <f aca="false">IF(AND($F245="Analogy",OR($H245="—",$H245="")),1,0)</f>
        <v>0</v>
      </c>
      <c r="X245" s="186" t="n">
        <f aca="false">IF(AND(OR($F245="Analogy",$F245="Assumed"),$G245&lt;&gt;"低",$G245&lt;&gt;"高",NOT(ISNUMBER($K245)),NOT(ISNUMBER($L245)),OR($M245="—",$M245="")),1,0)</f>
        <v>0</v>
      </c>
      <c r="Y245" s="186" t="n">
        <f aca="false">IF(AND(OR($F245="Analogy",$F245="Assumed",$F245="Derived（待改公式）",$F245="Derived（公式）"),OR($N245="—",$N245="",$N245=0)),1,0)</f>
        <v>0</v>
      </c>
      <c r="Z245" s="186" t="n">
        <f aca="false">IF(AND($F245="Decision",OR($J245="—",$J245="")),1,0)</f>
        <v>0</v>
      </c>
      <c r="AA245" s="183" t="n">
        <f aca="false">IF(OR($J245="—",$J245=""),0,IF(COUNTIF(Decisions!$A$5:$A$300,$J245)=0,1,0))</f>
        <v>0</v>
      </c>
      <c r="AB245" s="186" t="n">
        <f aca="false">IF(AND($F245="原始數據",$S245&lt;&gt;"Active"),1,0)</f>
        <v>0</v>
      </c>
      <c r="AC245" s="186" t="n">
        <f aca="false">IF(AND(ISNUMBER($K245),ISNUMBER($L245),ISNUMBER($Q245)),IF(OR($Q245&lt;MIN($K245,$L245),$Q245&gt;MAX($K245,$L245)),1,0),0)</f>
        <v>0</v>
      </c>
      <c r="AD245" s="186" t="n">
        <f aca="false">IF(AND(ISNUMBER($T245),$P245="高"),IF($T245=3,1,0),0)</f>
        <v>0</v>
      </c>
      <c r="AE245" s="186" t="n">
        <f aca="false">IF($S245="不存在",1,0)</f>
        <v>0</v>
      </c>
      <c r="AF245" s="35" t="n">
        <f aca="false">IF(OR($H245="—",$H245=""),"—",MATCH($H245,IDX_SrcID,0))</f>
        <v>308</v>
      </c>
      <c r="AG245" s="104" t="n">
        <f aca="false">IF(AND($P245="高",OR($AD245=1,$X245=1)),1,0)</f>
        <v>0</v>
      </c>
      <c r="AH245" s="104" t="n">
        <f aca="false">IF(AND($P245="高",$AG245=0,OR($F245&lt;&gt;"原始數據",$T245&lt;&gt;1)),1,0)</f>
        <v>1</v>
      </c>
      <c r="AI245" s="53" t="str">
        <f aca="false">IF(AND($P245="高",ISNUMBER($AF245)),INDEX(IDX_SrcDate,$AF245),"—")</f>
        <v>—</v>
      </c>
      <c r="AJ245" s="104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6" t="s">
        <v>3816</v>
      </c>
      <c r="B246" s="215" t="s">
        <v>3183</v>
      </c>
      <c r="C246" s="36" t="s">
        <v>3772</v>
      </c>
      <c r="D246" s="36" t="s">
        <v>3763</v>
      </c>
      <c r="E246" s="6" t="s">
        <v>340</v>
      </c>
      <c r="F246" s="36" t="s">
        <v>80</v>
      </c>
      <c r="G246" s="215" t="s">
        <v>3185</v>
      </c>
      <c r="H246" s="36" t="s">
        <v>587</v>
      </c>
      <c r="I246" s="6" t="s">
        <v>587</v>
      </c>
      <c r="J246" s="36" t="s">
        <v>587</v>
      </c>
      <c r="K246" s="185" t="n">
        <f aca="false">Serving!C22*0.5</f>
        <v>1</v>
      </c>
      <c r="L246" s="185" t="n">
        <f aca="false">Serving!C22*2</f>
        <v>4</v>
      </c>
      <c r="M246" s="36" t="s">
        <v>3817</v>
      </c>
      <c r="N246" s="6" t="s">
        <v>3818</v>
      </c>
      <c r="O246" s="6" t="s">
        <v>587</v>
      </c>
      <c r="P246" s="215" t="s">
        <v>3188</v>
      </c>
      <c r="Q246" s="182" t="n">
        <f aca="false">Serving!C22</f>
        <v>2</v>
      </c>
      <c r="R246" s="36" t="s">
        <v>587</v>
      </c>
      <c r="S246" s="35" t="str">
        <f aca="false">IF(ISNUMBER($AF246),INDEX(IDX_SrcStat,$AF246),"—")</f>
        <v>—</v>
      </c>
      <c r="T246" s="35" t="str">
        <f aca="false">IF(ISNUMBER($AF246),INDEX(IDX_SrcGrade,$AF246),"—")</f>
        <v>—</v>
      </c>
      <c r="U246" s="35" t="s">
        <v>3189</v>
      </c>
      <c r="V246" s="186" t="n">
        <f aca="false">IF(AND($F246="原始數據",$U246&lt;&gt;"連結 SRC"),1,0)</f>
        <v>0</v>
      </c>
      <c r="W246" s="186" t="n">
        <f aca="false">IF(AND($F246="Analogy",OR($H246="—",$H246="")),1,0)</f>
        <v>0</v>
      </c>
      <c r="X246" s="186" t="n">
        <f aca="false">IF(AND(OR($F246="Analogy",$F246="Assumed"),$G246&lt;&gt;"低",$G246&lt;&gt;"高",NOT(ISNUMBER($K246)),NOT(ISNUMBER($L246)),OR($M246="—",$M246="")),1,0)</f>
        <v>0</v>
      </c>
      <c r="Y246" s="186" t="n">
        <f aca="false">IF(AND(OR($F246="Analogy",$F246="Assumed",$F246="Derived（待改公式）",$F246="Derived（公式）"),OR($N246="—",$N246="",$N246=0)),1,0)</f>
        <v>0</v>
      </c>
      <c r="Z246" s="186" t="n">
        <f aca="false">IF(AND($F246="Decision",OR($J246="—",$J246="")),1,0)</f>
        <v>0</v>
      </c>
      <c r="AA246" s="183" t="n">
        <f aca="false">IF(OR($J246="—",$J246=""),0,IF(COUNTIF(Decisions!$A$5:$A$300,$J246)=0,1,0))</f>
        <v>0</v>
      </c>
      <c r="AB246" s="186" t="n">
        <f aca="false">IF(AND($F246="原始數據",$S246&lt;&gt;"Active"),1,0)</f>
        <v>0</v>
      </c>
      <c r="AC246" s="186" t="n">
        <f aca="false">IF(AND(ISNUMBER($K246),ISNUMBER($L246),ISNUMBER($Q246)),IF(OR($Q246&lt;MIN($K246,$L246),$Q246&gt;MAX($K246,$L246)),1,0),0)</f>
        <v>0</v>
      </c>
      <c r="AD246" s="186" t="n">
        <f aca="false">IF(AND(ISNUMBER($T246),$P246="高"),IF($T246=3,1,0),0)</f>
        <v>0</v>
      </c>
      <c r="AE246" s="186" t="n">
        <f aca="false">IF($S246="不存在",1,0)</f>
        <v>0</v>
      </c>
      <c r="AF246" s="35" t="str">
        <f aca="false">IF(OR($H246="—",$H246=""),"—",MATCH($H246,IDX_SrcID,0))</f>
        <v>—</v>
      </c>
      <c r="AG246" s="104" t="n">
        <f aca="false">IF(AND($P246="高",OR($AD246=1,$X246=1)),1,0)</f>
        <v>0</v>
      </c>
      <c r="AH246" s="104" t="n">
        <f aca="false">IF(AND($P246="高",$AG246=0,OR($F246&lt;&gt;"原始數據",$T246&lt;&gt;1)),1,0)</f>
        <v>0</v>
      </c>
      <c r="AI246" s="53" t="str">
        <f aca="false">IF(AND($P246="高",ISNUMBER($AF246)),INDEX(IDX_SrcDate,$AF246),"—")</f>
        <v>—</v>
      </c>
      <c r="AJ246" s="104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6" t="s">
        <v>3819</v>
      </c>
      <c r="B247" s="215" t="s">
        <v>3183</v>
      </c>
      <c r="C247" s="36" t="s">
        <v>3772</v>
      </c>
      <c r="D247" s="36" t="s">
        <v>3765</v>
      </c>
      <c r="E247" s="6" t="s">
        <v>340</v>
      </c>
      <c r="F247" s="36" t="s">
        <v>80</v>
      </c>
      <c r="G247" s="215" t="s">
        <v>3185</v>
      </c>
      <c r="H247" s="36" t="s">
        <v>587</v>
      </c>
      <c r="I247" s="6" t="s">
        <v>587</v>
      </c>
      <c r="J247" s="36" t="s">
        <v>587</v>
      </c>
      <c r="K247" s="185" t="n">
        <f aca="false">Serving!D22*0.5</f>
        <v>1.5</v>
      </c>
      <c r="L247" s="185" t="n">
        <f aca="false">Serving!D22*2</f>
        <v>6</v>
      </c>
      <c r="M247" s="36" t="s">
        <v>3817</v>
      </c>
      <c r="N247" s="6" t="s">
        <v>3818</v>
      </c>
      <c r="O247" s="6" t="s">
        <v>587</v>
      </c>
      <c r="P247" s="215" t="s">
        <v>3188</v>
      </c>
      <c r="Q247" s="182" t="n">
        <f aca="false">Serving!D22</f>
        <v>3</v>
      </c>
      <c r="R247" s="36" t="s">
        <v>587</v>
      </c>
      <c r="S247" s="35" t="str">
        <f aca="false">IF(ISNUMBER($AF247),INDEX(IDX_SrcStat,$AF247),"—")</f>
        <v>—</v>
      </c>
      <c r="T247" s="35" t="str">
        <f aca="false">IF(ISNUMBER($AF247),INDEX(IDX_SrcGrade,$AF247),"—")</f>
        <v>—</v>
      </c>
      <c r="U247" s="35" t="s">
        <v>3189</v>
      </c>
      <c r="V247" s="186" t="n">
        <f aca="false">IF(AND($F247="原始數據",$U247&lt;&gt;"連結 SRC"),1,0)</f>
        <v>0</v>
      </c>
      <c r="W247" s="186" t="n">
        <f aca="false">IF(AND($F247="Analogy",OR($H247="—",$H247="")),1,0)</f>
        <v>0</v>
      </c>
      <c r="X247" s="186" t="n">
        <f aca="false">IF(AND(OR($F247="Analogy",$F247="Assumed"),$G247&lt;&gt;"低",$G247&lt;&gt;"高",NOT(ISNUMBER($K247)),NOT(ISNUMBER($L247)),OR($M247="—",$M247="")),1,0)</f>
        <v>0</v>
      </c>
      <c r="Y247" s="186" t="n">
        <f aca="false">IF(AND(OR($F247="Analogy",$F247="Assumed",$F247="Derived（待改公式）",$F247="Derived（公式）"),OR($N247="—",$N247="",$N247=0)),1,0)</f>
        <v>0</v>
      </c>
      <c r="Z247" s="186" t="n">
        <f aca="false">IF(AND($F247="Decision",OR($J247="—",$J247="")),1,0)</f>
        <v>0</v>
      </c>
      <c r="AA247" s="183" t="n">
        <f aca="false">IF(OR($J247="—",$J247=""),0,IF(COUNTIF(Decisions!$A$5:$A$300,$J247)=0,1,0))</f>
        <v>0</v>
      </c>
      <c r="AB247" s="186" t="n">
        <f aca="false">IF(AND($F247="原始數據",$S247&lt;&gt;"Active"),1,0)</f>
        <v>0</v>
      </c>
      <c r="AC247" s="186" t="n">
        <f aca="false">IF(AND(ISNUMBER($K247),ISNUMBER($L247),ISNUMBER($Q247)),IF(OR($Q247&lt;MIN($K247,$L247),$Q247&gt;MAX($K247,$L247)),1,0),0)</f>
        <v>0</v>
      </c>
      <c r="AD247" s="186" t="n">
        <f aca="false">IF(AND(ISNUMBER($T247),$P247="高"),IF($T247=3,1,0),0)</f>
        <v>0</v>
      </c>
      <c r="AE247" s="186" t="n">
        <f aca="false">IF($S247="不存在",1,0)</f>
        <v>0</v>
      </c>
      <c r="AF247" s="35" t="str">
        <f aca="false">IF(OR($H247="—",$H247=""),"—",MATCH($H247,IDX_SrcID,0))</f>
        <v>—</v>
      </c>
      <c r="AG247" s="104" t="n">
        <f aca="false">IF(AND($P247="高",OR($AD247=1,$X247=1)),1,0)</f>
        <v>0</v>
      </c>
      <c r="AH247" s="104" t="n">
        <f aca="false">IF(AND($P247="高",$AG247=0,OR($F247&lt;&gt;"原始數據",$T247&lt;&gt;1)),1,0)</f>
        <v>0</v>
      </c>
      <c r="AI247" s="53" t="str">
        <f aca="false">IF(AND($P247="高",ISNUMBER($AF247)),INDEX(IDX_SrcDate,$AF247),"—")</f>
        <v>—</v>
      </c>
      <c r="AJ247" s="104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6" t="s">
        <v>3820</v>
      </c>
      <c r="B248" s="215" t="s">
        <v>3183</v>
      </c>
      <c r="C248" s="36" t="s">
        <v>3772</v>
      </c>
      <c r="D248" s="36" t="s">
        <v>3767</v>
      </c>
      <c r="E248" s="6" t="s">
        <v>340</v>
      </c>
      <c r="F248" s="36" t="s">
        <v>80</v>
      </c>
      <c r="G248" s="215" t="s">
        <v>3185</v>
      </c>
      <c r="H248" s="36" t="s">
        <v>587</v>
      </c>
      <c r="I248" s="6" t="s">
        <v>587</v>
      </c>
      <c r="J248" s="36" t="s">
        <v>587</v>
      </c>
      <c r="K248" s="185" t="n">
        <f aca="false">Serving!E22*0.5</f>
        <v>2.5</v>
      </c>
      <c r="L248" s="185" t="n">
        <f aca="false">Serving!E22*2</f>
        <v>10</v>
      </c>
      <c r="M248" s="36" t="s">
        <v>3817</v>
      </c>
      <c r="N248" s="6" t="s">
        <v>3818</v>
      </c>
      <c r="O248" s="6" t="s">
        <v>587</v>
      </c>
      <c r="P248" s="215" t="s">
        <v>3188</v>
      </c>
      <c r="Q248" s="182" t="n">
        <f aca="false">Serving!E22</f>
        <v>5</v>
      </c>
      <c r="R248" s="36" t="s">
        <v>587</v>
      </c>
      <c r="S248" s="35" t="str">
        <f aca="false">IF(ISNUMBER($AF248),INDEX(IDX_SrcStat,$AF248),"—")</f>
        <v>—</v>
      </c>
      <c r="T248" s="35" t="str">
        <f aca="false">IF(ISNUMBER($AF248),INDEX(IDX_SrcGrade,$AF248),"—")</f>
        <v>—</v>
      </c>
      <c r="U248" s="35" t="s">
        <v>3189</v>
      </c>
      <c r="V248" s="186" t="n">
        <f aca="false">IF(AND($F248="原始數據",$U248&lt;&gt;"連結 SRC"),1,0)</f>
        <v>0</v>
      </c>
      <c r="W248" s="186" t="n">
        <f aca="false">IF(AND($F248="Analogy",OR($H248="—",$H248="")),1,0)</f>
        <v>0</v>
      </c>
      <c r="X248" s="186" t="n">
        <f aca="false">IF(AND(OR($F248="Analogy",$F248="Assumed"),$G248&lt;&gt;"低",$G248&lt;&gt;"高",NOT(ISNUMBER($K248)),NOT(ISNUMBER($L248)),OR($M248="—",$M248="")),1,0)</f>
        <v>0</v>
      </c>
      <c r="Y248" s="186" t="n">
        <f aca="false">IF(AND(OR($F248="Analogy",$F248="Assumed",$F248="Derived（待改公式）",$F248="Derived（公式）"),OR($N248="—",$N248="",$N248=0)),1,0)</f>
        <v>0</v>
      </c>
      <c r="Z248" s="186" t="n">
        <f aca="false">IF(AND($F248="Decision",OR($J248="—",$J248="")),1,0)</f>
        <v>0</v>
      </c>
      <c r="AA248" s="183" t="n">
        <f aca="false">IF(OR($J248="—",$J248=""),0,IF(COUNTIF(Decisions!$A$5:$A$300,$J248)=0,1,0))</f>
        <v>0</v>
      </c>
      <c r="AB248" s="186" t="n">
        <f aca="false">IF(AND($F248="原始數據",$S248&lt;&gt;"Active"),1,0)</f>
        <v>0</v>
      </c>
      <c r="AC248" s="186" t="n">
        <f aca="false">IF(AND(ISNUMBER($K248),ISNUMBER($L248),ISNUMBER($Q248)),IF(OR($Q248&lt;MIN($K248,$L248),$Q248&gt;MAX($K248,$L248)),1,0),0)</f>
        <v>0</v>
      </c>
      <c r="AD248" s="186" t="n">
        <f aca="false">IF(AND(ISNUMBER($T248),$P248="高"),IF($T248=3,1,0),0)</f>
        <v>0</v>
      </c>
      <c r="AE248" s="186" t="n">
        <f aca="false">IF($S248="不存在",1,0)</f>
        <v>0</v>
      </c>
      <c r="AF248" s="35" t="str">
        <f aca="false">IF(OR($H248="—",$H248=""),"—",MATCH($H248,IDX_SrcID,0))</f>
        <v>—</v>
      </c>
      <c r="AG248" s="104" t="n">
        <f aca="false">IF(AND($P248="高",OR($AD248=1,$X248=1)),1,0)</f>
        <v>0</v>
      </c>
      <c r="AH248" s="104" t="n">
        <f aca="false">IF(AND($P248="高",$AG248=0,OR($F248&lt;&gt;"原始數據",$T248&lt;&gt;1)),1,0)</f>
        <v>0</v>
      </c>
      <c r="AI248" s="53" t="str">
        <f aca="false">IF(AND($P248="高",ISNUMBER($AF248)),INDEX(IDX_SrcDate,$AF248),"—")</f>
        <v>—</v>
      </c>
      <c r="AJ248" s="104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6" t="s">
        <v>3821</v>
      </c>
      <c r="B249" s="215" t="s">
        <v>3183</v>
      </c>
      <c r="C249" s="36" t="s">
        <v>3772</v>
      </c>
      <c r="D249" s="36" t="s">
        <v>3452</v>
      </c>
      <c r="E249" s="19" t="s">
        <v>3822</v>
      </c>
      <c r="F249" s="36" t="s">
        <v>80</v>
      </c>
      <c r="G249" s="215" t="s">
        <v>3185</v>
      </c>
      <c r="H249" s="36" t="s">
        <v>587</v>
      </c>
      <c r="I249" s="6" t="s">
        <v>587</v>
      </c>
      <c r="J249" s="36" t="s">
        <v>587</v>
      </c>
      <c r="K249" s="185" t="n">
        <f aca="false">Serving!C23*0.5</f>
        <v>4096</v>
      </c>
      <c r="L249" s="185" t="n">
        <f aca="false">Serving!C23*2</f>
        <v>16384</v>
      </c>
      <c r="M249" s="36" t="s">
        <v>3817</v>
      </c>
      <c r="N249" s="19" t="s">
        <v>3823</v>
      </c>
      <c r="O249" s="6" t="s">
        <v>587</v>
      </c>
      <c r="P249" s="215" t="s">
        <v>1116</v>
      </c>
      <c r="Q249" s="41" t="n">
        <f aca="false">Serving!C23</f>
        <v>8192</v>
      </c>
      <c r="R249" s="36" t="s">
        <v>587</v>
      </c>
      <c r="S249" s="35" t="str">
        <f aca="false">IF(ISNUMBER($AF249),INDEX(IDX_SrcStat,$AF249),"—")</f>
        <v>—</v>
      </c>
      <c r="T249" s="35" t="str">
        <f aca="false">IF(ISNUMBER($AF249),INDEX(IDX_SrcGrade,$AF249),"—")</f>
        <v>—</v>
      </c>
      <c r="U249" s="35" t="s">
        <v>3189</v>
      </c>
      <c r="V249" s="186" t="n">
        <f aca="false">IF(AND($F249="原始數據",$U249&lt;&gt;"連結 SRC"),1,0)</f>
        <v>0</v>
      </c>
      <c r="W249" s="186" t="n">
        <f aca="false">IF(AND($F249="Analogy",OR($H249="—",$H249="")),1,0)</f>
        <v>0</v>
      </c>
      <c r="X249" s="186" t="n">
        <f aca="false">IF(AND(OR($F249="Analogy",$F249="Assumed"),$G249&lt;&gt;"低",$G249&lt;&gt;"高",NOT(ISNUMBER($K249)),NOT(ISNUMBER($L249)),OR($M249="—",$M249="")),1,0)</f>
        <v>0</v>
      </c>
      <c r="Y249" s="186" t="n">
        <f aca="false">IF(AND(OR($F249="Analogy",$F249="Assumed",$F249="Derived（待改公式）",$F249="Derived（公式）"),OR($N249="—",$N249="",$N249=0)),1,0)</f>
        <v>0</v>
      </c>
      <c r="Z249" s="186" t="n">
        <f aca="false">IF(AND($F249="Decision",OR($J249="—",$J249="")),1,0)</f>
        <v>0</v>
      </c>
      <c r="AA249" s="183" t="n">
        <f aca="false">IF(OR($J249="—",$J249=""),0,IF(COUNTIF(Decisions!$A$5:$A$300,$J249)=0,1,0))</f>
        <v>0</v>
      </c>
      <c r="AB249" s="186" t="n">
        <f aca="false">IF(AND($F249="原始數據",$S249&lt;&gt;"Active"),1,0)</f>
        <v>0</v>
      </c>
      <c r="AC249" s="186" t="n">
        <f aca="false">IF(AND(ISNUMBER($K249),ISNUMBER($L249),ISNUMBER($Q249)),IF(OR($Q249&lt;MIN($K249,$L249),$Q249&gt;MAX($K249,$L249)),1,0),0)</f>
        <v>0</v>
      </c>
      <c r="AD249" s="186" t="n">
        <f aca="false">IF(AND(ISNUMBER($T249),$P249="高"),IF($T249=3,1,0),0)</f>
        <v>0</v>
      </c>
      <c r="AE249" s="186" t="n">
        <f aca="false">IF($S249="不存在",1,0)</f>
        <v>0</v>
      </c>
      <c r="AF249" s="35" t="str">
        <f aca="false">IF(OR($H249="—",$H249=""),"—",MATCH($H249,IDX_SrcID,0))</f>
        <v>—</v>
      </c>
      <c r="AG249" s="104" t="n">
        <f aca="false">IF(AND($P249="高",OR($AD249=1,$X249=1)),1,0)</f>
        <v>0</v>
      </c>
      <c r="AH249" s="104" t="n">
        <f aca="false">IF(AND($P249="高",$AG249=0,OR($F249&lt;&gt;"原始數據",$T249&lt;&gt;1)),1,0)</f>
        <v>1</v>
      </c>
      <c r="AI249" s="53" t="str">
        <f aca="false">IF(AND($P249="高",ISNUMBER($AF249)),INDEX(IDX_SrcDate,$AF249),"—")</f>
        <v>—</v>
      </c>
      <c r="AJ249" s="104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6" t="s">
        <v>3824</v>
      </c>
      <c r="B250" s="215" t="s">
        <v>3183</v>
      </c>
      <c r="C250" s="36" t="s">
        <v>3772</v>
      </c>
      <c r="D250" s="36" t="s">
        <v>3315</v>
      </c>
      <c r="E250" s="19" t="s">
        <v>3822</v>
      </c>
      <c r="F250" s="36" t="s">
        <v>80</v>
      </c>
      <c r="G250" s="215" t="s">
        <v>3185</v>
      </c>
      <c r="H250" s="36" t="s">
        <v>587</v>
      </c>
      <c r="I250" s="6" t="s">
        <v>587</v>
      </c>
      <c r="J250" s="36" t="s">
        <v>587</v>
      </c>
      <c r="K250" s="185" t="n">
        <f aca="false">Serving!D23*0.5</f>
        <v>8192</v>
      </c>
      <c r="L250" s="185" t="n">
        <v>68000</v>
      </c>
      <c r="M250" s="36" t="s">
        <v>3817</v>
      </c>
      <c r="N250" s="19" t="s">
        <v>3825</v>
      </c>
      <c r="O250" s="6" t="s">
        <v>587</v>
      </c>
      <c r="P250" s="215" t="s">
        <v>1116</v>
      </c>
      <c r="Q250" s="41" t="n">
        <f aca="false">Serving!D23</f>
        <v>16384</v>
      </c>
      <c r="R250" s="36" t="s">
        <v>587</v>
      </c>
      <c r="S250" s="35" t="str">
        <f aca="false">IF(ISNUMBER($AF250),INDEX(IDX_SrcStat,$AF250),"—")</f>
        <v>—</v>
      </c>
      <c r="T250" s="35" t="str">
        <f aca="false">IF(ISNUMBER($AF250),INDEX(IDX_SrcGrade,$AF250),"—")</f>
        <v>—</v>
      </c>
      <c r="U250" s="35" t="s">
        <v>3189</v>
      </c>
      <c r="V250" s="186" t="n">
        <f aca="false">IF(AND($F250="原始數據",$U250&lt;&gt;"連結 SRC"),1,0)</f>
        <v>0</v>
      </c>
      <c r="W250" s="186" t="n">
        <f aca="false">IF(AND($F250="Analogy",OR($H250="—",$H250="")),1,0)</f>
        <v>0</v>
      </c>
      <c r="X250" s="186" t="n">
        <f aca="false">IF(AND(OR($F250="Analogy",$F250="Assumed"),$G250&lt;&gt;"低",$G250&lt;&gt;"高",NOT(ISNUMBER($K250)),NOT(ISNUMBER($L250)),OR($M250="—",$M250="")),1,0)</f>
        <v>0</v>
      </c>
      <c r="Y250" s="186" t="n">
        <f aca="false">IF(AND(OR($F250="Analogy",$F250="Assumed",$F250="Derived（待改公式）",$F250="Derived（公式）"),OR($N250="—",$N250="",$N250=0)),1,0)</f>
        <v>0</v>
      </c>
      <c r="Z250" s="186" t="n">
        <f aca="false">IF(AND($F250="Decision",OR($J250="—",$J250="")),1,0)</f>
        <v>0</v>
      </c>
      <c r="AA250" s="183" t="n">
        <f aca="false">IF(OR($J250="—",$J250=""),0,IF(COUNTIF(Decisions!$A$5:$A$300,$J250)=0,1,0))</f>
        <v>0</v>
      </c>
      <c r="AB250" s="186" t="n">
        <f aca="false">IF(AND($F250="原始數據",$S250&lt;&gt;"Active"),1,0)</f>
        <v>0</v>
      </c>
      <c r="AC250" s="186" t="n">
        <f aca="false">IF(AND(ISNUMBER($K250),ISNUMBER($L250),ISNUMBER($Q250)),IF(OR($Q250&lt;MIN($K250,$L250),$Q250&gt;MAX($K250,$L250)),1,0),0)</f>
        <v>0</v>
      </c>
      <c r="AD250" s="186" t="n">
        <f aca="false">IF(AND(ISNUMBER($T250),$P250="高"),IF($T250=3,1,0),0)</f>
        <v>0</v>
      </c>
      <c r="AE250" s="186" t="n">
        <f aca="false">IF($S250="不存在",1,0)</f>
        <v>0</v>
      </c>
      <c r="AF250" s="35" t="str">
        <f aca="false">IF(OR($H250="—",$H250=""),"—",MATCH($H250,IDX_SrcID,0))</f>
        <v>—</v>
      </c>
      <c r="AG250" s="104" t="n">
        <f aca="false">IF(AND($P250="高",OR($AD250=1,$X250=1)),1,0)</f>
        <v>0</v>
      </c>
      <c r="AH250" s="104" t="n">
        <f aca="false">IF(AND($P250="高",$AG250=0,OR($F250&lt;&gt;"原始數據",$T250&lt;&gt;1)),1,0)</f>
        <v>1</v>
      </c>
      <c r="AI250" s="53" t="str">
        <f aca="false">IF(AND($P250="高",ISNUMBER($AF250)),INDEX(IDX_SrcDate,$AF250),"—")</f>
        <v>—</v>
      </c>
      <c r="AJ250" s="104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6" t="s">
        <v>3826</v>
      </c>
      <c r="B251" s="215" t="s">
        <v>3183</v>
      </c>
      <c r="C251" s="36" t="s">
        <v>3772</v>
      </c>
      <c r="D251" s="36" t="s">
        <v>3320</v>
      </c>
      <c r="E251" s="19" t="s">
        <v>3822</v>
      </c>
      <c r="F251" s="36" t="s">
        <v>80</v>
      </c>
      <c r="G251" s="215" t="s">
        <v>3185</v>
      </c>
      <c r="H251" s="36" t="s">
        <v>587</v>
      </c>
      <c r="I251" s="6" t="s">
        <v>587</v>
      </c>
      <c r="J251" s="36" t="s">
        <v>587</v>
      </c>
      <c r="K251" s="185" t="n">
        <f aca="false">Serving!E23*0.5</f>
        <v>16384</v>
      </c>
      <c r="L251" s="185" t="n">
        <v>68000</v>
      </c>
      <c r="M251" s="36" t="s">
        <v>3817</v>
      </c>
      <c r="N251" s="19" t="s">
        <v>3825</v>
      </c>
      <c r="O251" s="6" t="s">
        <v>587</v>
      </c>
      <c r="P251" s="215" t="s">
        <v>1116</v>
      </c>
      <c r="Q251" s="41" t="n">
        <f aca="false">Serving!E23</f>
        <v>32768</v>
      </c>
      <c r="R251" s="36" t="s">
        <v>587</v>
      </c>
      <c r="S251" s="35" t="str">
        <f aca="false">IF(ISNUMBER($AF251),INDEX(IDX_SrcStat,$AF251),"—")</f>
        <v>—</v>
      </c>
      <c r="T251" s="35" t="str">
        <f aca="false">IF(ISNUMBER($AF251),INDEX(IDX_SrcGrade,$AF251),"—")</f>
        <v>—</v>
      </c>
      <c r="U251" s="35" t="s">
        <v>3189</v>
      </c>
      <c r="V251" s="186" t="n">
        <f aca="false">IF(AND($F251="原始數據",$U251&lt;&gt;"連結 SRC"),1,0)</f>
        <v>0</v>
      </c>
      <c r="W251" s="186" t="n">
        <f aca="false">IF(AND($F251="Analogy",OR($H251="—",$H251="")),1,0)</f>
        <v>0</v>
      </c>
      <c r="X251" s="186" t="n">
        <f aca="false">IF(AND(OR($F251="Analogy",$F251="Assumed"),$G251&lt;&gt;"低",$G251&lt;&gt;"高",NOT(ISNUMBER($K251)),NOT(ISNUMBER($L251)),OR($M251="—",$M251="")),1,0)</f>
        <v>0</v>
      </c>
      <c r="Y251" s="186" t="n">
        <f aca="false">IF(AND(OR($F251="Analogy",$F251="Assumed",$F251="Derived（待改公式）",$F251="Derived（公式）"),OR($N251="—",$N251="",$N251=0)),1,0)</f>
        <v>0</v>
      </c>
      <c r="Z251" s="186" t="n">
        <f aca="false">IF(AND($F251="Decision",OR($J251="—",$J251="")),1,0)</f>
        <v>0</v>
      </c>
      <c r="AA251" s="183" t="n">
        <f aca="false">IF(OR($J251="—",$J251=""),0,IF(COUNTIF(Decisions!$A$5:$A$300,$J251)=0,1,0))</f>
        <v>0</v>
      </c>
      <c r="AB251" s="186" t="n">
        <f aca="false">IF(AND($F251="原始數據",$S251&lt;&gt;"Active"),1,0)</f>
        <v>0</v>
      </c>
      <c r="AC251" s="186" t="n">
        <f aca="false">IF(AND(ISNUMBER($K251),ISNUMBER($L251),ISNUMBER($Q251)),IF(OR($Q251&lt;MIN($K251,$L251),$Q251&gt;MAX($K251,$L251)),1,0),0)</f>
        <v>0</v>
      </c>
      <c r="AD251" s="186" t="n">
        <f aca="false">IF(AND(ISNUMBER($T251),$P251="高"),IF($T251=3,1,0),0)</f>
        <v>0</v>
      </c>
      <c r="AE251" s="186" t="n">
        <f aca="false">IF($S251="不存在",1,0)</f>
        <v>0</v>
      </c>
      <c r="AF251" s="35" t="str">
        <f aca="false">IF(OR($H251="—",$H251=""),"—",MATCH($H251,IDX_SrcID,0))</f>
        <v>—</v>
      </c>
      <c r="AG251" s="104" t="n">
        <f aca="false">IF(AND($P251="高",OR($AD251=1,$X251=1)),1,0)</f>
        <v>0</v>
      </c>
      <c r="AH251" s="104" t="n">
        <f aca="false">IF(AND($P251="高",$AG251=0,OR($F251&lt;&gt;"原始數據",$T251&lt;&gt;1)),1,0)</f>
        <v>1</v>
      </c>
      <c r="AI251" s="53" t="str">
        <f aca="false">IF(AND($P251="高",ISNUMBER($AF251)),INDEX(IDX_SrcDate,$AF251),"—")</f>
        <v>—</v>
      </c>
      <c r="AJ251" s="104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6" t="s">
        <v>3827</v>
      </c>
      <c r="B252" s="215" t="s">
        <v>3183</v>
      </c>
      <c r="C252" s="36" t="s">
        <v>3772</v>
      </c>
      <c r="D252" s="36" t="s">
        <v>3469</v>
      </c>
      <c r="E252" s="19" t="s">
        <v>3828</v>
      </c>
      <c r="F252" s="36" t="s">
        <v>80</v>
      </c>
      <c r="G252" s="215" t="s">
        <v>3185</v>
      </c>
      <c r="H252" s="36" t="s">
        <v>587</v>
      </c>
      <c r="I252" s="6" t="s">
        <v>587</v>
      </c>
      <c r="J252" s="36" t="s">
        <v>587</v>
      </c>
      <c r="K252" s="217" t="n">
        <v>400</v>
      </c>
      <c r="L252" s="185" t="n">
        <f aca="false">Serving!C24*2</f>
        <v>2048</v>
      </c>
      <c r="M252" s="36" t="s">
        <v>3829</v>
      </c>
      <c r="N252" s="19" t="s">
        <v>3830</v>
      </c>
      <c r="O252" s="6" t="s">
        <v>587</v>
      </c>
      <c r="P252" s="215" t="s">
        <v>1116</v>
      </c>
      <c r="Q252" s="41" t="n">
        <f aca="false">Serving!C24</f>
        <v>1024</v>
      </c>
      <c r="R252" s="36" t="s">
        <v>587</v>
      </c>
      <c r="S252" s="35" t="str">
        <f aca="false">IF(ISNUMBER($AF252),INDEX(IDX_SrcStat,$AF252),"—")</f>
        <v>—</v>
      </c>
      <c r="T252" s="35" t="str">
        <f aca="false">IF(ISNUMBER($AF252),INDEX(IDX_SrcGrade,$AF252),"—")</f>
        <v>—</v>
      </c>
      <c r="U252" s="35" t="s">
        <v>3189</v>
      </c>
      <c r="V252" s="186" t="n">
        <f aca="false">IF(AND($F252="原始數據",$U252&lt;&gt;"連結 SRC"),1,0)</f>
        <v>0</v>
      </c>
      <c r="W252" s="186" t="n">
        <f aca="false">IF(AND($F252="Analogy",OR($H252="—",$H252="")),1,0)</f>
        <v>0</v>
      </c>
      <c r="X252" s="186" t="n">
        <f aca="false">IF(AND(OR($F252="Analogy",$F252="Assumed"),$G252&lt;&gt;"低",$G252&lt;&gt;"高",NOT(ISNUMBER($K252)),NOT(ISNUMBER($L252)),OR($M252="—",$M252="")),1,0)</f>
        <v>0</v>
      </c>
      <c r="Y252" s="186" t="n">
        <f aca="false">IF(AND(OR($F252="Analogy",$F252="Assumed",$F252="Derived（待改公式）",$F252="Derived（公式）"),OR($N252="—",$N252="",$N252=0)),1,0)</f>
        <v>0</v>
      </c>
      <c r="Z252" s="186" t="n">
        <f aca="false">IF(AND($F252="Decision",OR($J252="—",$J252="")),1,0)</f>
        <v>0</v>
      </c>
      <c r="AA252" s="183" t="n">
        <f aca="false">IF(OR($J252="—",$J252=""),0,IF(COUNTIF(Decisions!$A$5:$A$300,$J252)=0,1,0))</f>
        <v>0</v>
      </c>
      <c r="AB252" s="186" t="n">
        <f aca="false">IF(AND($F252="原始數據",$S252&lt;&gt;"Active"),1,0)</f>
        <v>0</v>
      </c>
      <c r="AC252" s="186" t="n">
        <f aca="false">IF(AND(ISNUMBER($K252),ISNUMBER($L252),ISNUMBER($Q252)),IF(OR($Q252&lt;MIN($K252,$L252),$Q252&gt;MAX($K252,$L252)),1,0),0)</f>
        <v>0</v>
      </c>
      <c r="AD252" s="186" t="n">
        <f aca="false">IF(AND(ISNUMBER($T252),$P252="高"),IF($T252=3,1,0),0)</f>
        <v>0</v>
      </c>
      <c r="AE252" s="186" t="n">
        <f aca="false">IF($S252="不存在",1,0)</f>
        <v>0</v>
      </c>
      <c r="AF252" s="35" t="str">
        <f aca="false">IF(OR($H252="—",$H252=""),"—",MATCH($H252,IDX_SrcID,0))</f>
        <v>—</v>
      </c>
      <c r="AG252" s="104" t="n">
        <f aca="false">IF(AND($P252="高",OR($AD252=1,$X252=1)),1,0)</f>
        <v>0</v>
      </c>
      <c r="AH252" s="104" t="n">
        <f aca="false">IF(AND($P252="高",$AG252=0,OR($F252&lt;&gt;"原始數據",$T252&lt;&gt;1)),1,0)</f>
        <v>1</v>
      </c>
      <c r="AI252" s="53" t="str">
        <f aca="false">IF(AND($P252="高",ISNUMBER($AF252)),INDEX(IDX_SrcDate,$AF252),"—")</f>
        <v>—</v>
      </c>
      <c r="AJ252" s="104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6" t="s">
        <v>3831</v>
      </c>
      <c r="B253" s="215" t="s">
        <v>3183</v>
      </c>
      <c r="C253" s="36" t="s">
        <v>3772</v>
      </c>
      <c r="D253" s="36" t="s">
        <v>3474</v>
      </c>
      <c r="E253" s="19" t="s">
        <v>3828</v>
      </c>
      <c r="F253" s="36" t="s">
        <v>80</v>
      </c>
      <c r="G253" s="215" t="s">
        <v>3185</v>
      </c>
      <c r="H253" s="36" t="s">
        <v>587</v>
      </c>
      <c r="I253" s="6" t="s">
        <v>587</v>
      </c>
      <c r="J253" s="36" t="s">
        <v>587</v>
      </c>
      <c r="K253" s="185" t="n">
        <f aca="false">Serving!D24*0.5</f>
        <v>1024</v>
      </c>
      <c r="L253" s="185" t="n">
        <f aca="false">Serving!D24*2</f>
        <v>4096</v>
      </c>
      <c r="M253" s="36" t="s">
        <v>3817</v>
      </c>
      <c r="N253" s="19" t="s">
        <v>3830</v>
      </c>
      <c r="O253" s="6" t="s">
        <v>587</v>
      </c>
      <c r="P253" s="215" t="s">
        <v>1116</v>
      </c>
      <c r="Q253" s="41" t="n">
        <f aca="false">Serving!D24</f>
        <v>2048</v>
      </c>
      <c r="R253" s="36" t="s">
        <v>587</v>
      </c>
      <c r="S253" s="35" t="str">
        <f aca="false">IF(ISNUMBER($AF253),INDEX(IDX_SrcStat,$AF253),"—")</f>
        <v>—</v>
      </c>
      <c r="T253" s="35" t="str">
        <f aca="false">IF(ISNUMBER($AF253),INDEX(IDX_SrcGrade,$AF253),"—")</f>
        <v>—</v>
      </c>
      <c r="U253" s="35" t="s">
        <v>3189</v>
      </c>
      <c r="V253" s="186" t="n">
        <f aca="false">IF(AND($F253="原始數據",$U253&lt;&gt;"連結 SRC"),1,0)</f>
        <v>0</v>
      </c>
      <c r="W253" s="186" t="n">
        <f aca="false">IF(AND($F253="Analogy",OR($H253="—",$H253="")),1,0)</f>
        <v>0</v>
      </c>
      <c r="X253" s="186" t="n">
        <f aca="false">IF(AND(OR($F253="Analogy",$F253="Assumed"),$G253&lt;&gt;"低",$G253&lt;&gt;"高",NOT(ISNUMBER($K253)),NOT(ISNUMBER($L253)),OR($M253="—",$M253="")),1,0)</f>
        <v>0</v>
      </c>
      <c r="Y253" s="186" t="n">
        <f aca="false">IF(AND(OR($F253="Analogy",$F253="Assumed",$F253="Derived（待改公式）",$F253="Derived（公式）"),OR($N253="—",$N253="",$N253=0)),1,0)</f>
        <v>0</v>
      </c>
      <c r="Z253" s="186" t="n">
        <f aca="false">IF(AND($F253="Decision",OR($J253="—",$J253="")),1,0)</f>
        <v>0</v>
      </c>
      <c r="AA253" s="183" t="n">
        <f aca="false">IF(OR($J253="—",$J253=""),0,IF(COUNTIF(Decisions!$A$5:$A$300,$J253)=0,1,0))</f>
        <v>0</v>
      </c>
      <c r="AB253" s="186" t="n">
        <f aca="false">IF(AND($F253="原始數據",$S253&lt;&gt;"Active"),1,0)</f>
        <v>0</v>
      </c>
      <c r="AC253" s="186" t="n">
        <f aca="false">IF(AND(ISNUMBER($K253),ISNUMBER($L253),ISNUMBER($Q253)),IF(OR($Q253&lt;MIN($K253,$L253),$Q253&gt;MAX($K253,$L253)),1,0),0)</f>
        <v>0</v>
      </c>
      <c r="AD253" s="186" t="n">
        <f aca="false">IF(AND(ISNUMBER($T253),$P253="高"),IF($T253=3,1,0),0)</f>
        <v>0</v>
      </c>
      <c r="AE253" s="186" t="n">
        <f aca="false">IF($S253="不存在",1,0)</f>
        <v>0</v>
      </c>
      <c r="AF253" s="35" t="str">
        <f aca="false">IF(OR($H253="—",$H253=""),"—",MATCH($H253,IDX_SrcID,0))</f>
        <v>—</v>
      </c>
      <c r="AG253" s="104" t="n">
        <f aca="false">IF(AND($P253="高",OR($AD253=1,$X253=1)),1,0)</f>
        <v>0</v>
      </c>
      <c r="AH253" s="104" t="n">
        <f aca="false">IF(AND($P253="高",$AG253=0,OR($F253&lt;&gt;"原始數據",$T253&lt;&gt;1)),1,0)</f>
        <v>1</v>
      </c>
      <c r="AI253" s="53" t="str">
        <f aca="false">IF(AND($P253="高",ISNUMBER($AF253)),INDEX(IDX_SrcDate,$AF253),"—")</f>
        <v>—</v>
      </c>
      <c r="AJ253" s="104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6" t="s">
        <v>3832</v>
      </c>
      <c r="B254" s="215" t="s">
        <v>3183</v>
      </c>
      <c r="C254" s="36" t="s">
        <v>3772</v>
      </c>
      <c r="D254" s="36" t="s">
        <v>3325</v>
      </c>
      <c r="E254" s="19" t="s">
        <v>3828</v>
      </c>
      <c r="F254" s="36" t="s">
        <v>80</v>
      </c>
      <c r="G254" s="215" t="s">
        <v>3185</v>
      </c>
      <c r="H254" s="36" t="s">
        <v>587</v>
      </c>
      <c r="I254" s="6" t="s">
        <v>587</v>
      </c>
      <c r="J254" s="36" t="s">
        <v>587</v>
      </c>
      <c r="K254" s="185" t="n">
        <f aca="false">Serving!E24*0.5</f>
        <v>2048</v>
      </c>
      <c r="L254" s="185" t="n">
        <f aca="false">Serving!E24*2</f>
        <v>8192</v>
      </c>
      <c r="M254" s="36" t="s">
        <v>3817</v>
      </c>
      <c r="N254" s="19" t="s">
        <v>3830</v>
      </c>
      <c r="O254" s="6" t="s">
        <v>587</v>
      </c>
      <c r="P254" s="215" t="s">
        <v>1116</v>
      </c>
      <c r="Q254" s="41" t="n">
        <f aca="false">Serving!E24</f>
        <v>4096</v>
      </c>
      <c r="R254" s="36" t="s">
        <v>587</v>
      </c>
      <c r="S254" s="35" t="str">
        <f aca="false">IF(ISNUMBER($AF254),INDEX(IDX_SrcStat,$AF254),"—")</f>
        <v>—</v>
      </c>
      <c r="T254" s="35" t="str">
        <f aca="false">IF(ISNUMBER($AF254),INDEX(IDX_SrcGrade,$AF254),"—")</f>
        <v>—</v>
      </c>
      <c r="U254" s="35" t="s">
        <v>3189</v>
      </c>
      <c r="V254" s="186" t="n">
        <f aca="false">IF(AND($F254="原始數據",$U254&lt;&gt;"連結 SRC"),1,0)</f>
        <v>0</v>
      </c>
      <c r="W254" s="186" t="n">
        <f aca="false">IF(AND($F254="Analogy",OR($H254="—",$H254="")),1,0)</f>
        <v>0</v>
      </c>
      <c r="X254" s="186" t="n">
        <f aca="false">IF(AND(OR($F254="Analogy",$F254="Assumed"),$G254&lt;&gt;"低",$G254&lt;&gt;"高",NOT(ISNUMBER($K254)),NOT(ISNUMBER($L254)),OR($M254="—",$M254="")),1,0)</f>
        <v>0</v>
      </c>
      <c r="Y254" s="186" t="n">
        <f aca="false">IF(AND(OR($F254="Analogy",$F254="Assumed",$F254="Derived（待改公式）",$F254="Derived（公式）"),OR($N254="—",$N254="",$N254=0)),1,0)</f>
        <v>0</v>
      </c>
      <c r="Z254" s="186" t="n">
        <f aca="false">IF(AND($F254="Decision",OR($J254="—",$J254="")),1,0)</f>
        <v>0</v>
      </c>
      <c r="AA254" s="183" t="n">
        <f aca="false">IF(OR($J254="—",$J254=""),0,IF(COUNTIF(Decisions!$A$5:$A$300,$J254)=0,1,0))</f>
        <v>0</v>
      </c>
      <c r="AB254" s="186" t="n">
        <f aca="false">IF(AND($F254="原始數據",$S254&lt;&gt;"Active"),1,0)</f>
        <v>0</v>
      </c>
      <c r="AC254" s="186" t="n">
        <f aca="false">IF(AND(ISNUMBER($K254),ISNUMBER($L254),ISNUMBER($Q254)),IF(OR($Q254&lt;MIN($K254,$L254),$Q254&gt;MAX($K254,$L254)),1,0),0)</f>
        <v>0</v>
      </c>
      <c r="AD254" s="186" t="n">
        <f aca="false">IF(AND(ISNUMBER($T254),$P254="高"),IF($T254=3,1,0),0)</f>
        <v>0</v>
      </c>
      <c r="AE254" s="186" t="n">
        <f aca="false">IF($S254="不存在",1,0)</f>
        <v>0</v>
      </c>
      <c r="AF254" s="35" t="str">
        <f aca="false">IF(OR($H254="—",$H254=""),"—",MATCH($H254,IDX_SrcID,0))</f>
        <v>—</v>
      </c>
      <c r="AG254" s="104" t="n">
        <f aca="false">IF(AND($P254="高",OR($AD254=1,$X254=1)),1,0)</f>
        <v>0</v>
      </c>
      <c r="AH254" s="104" t="n">
        <f aca="false">IF(AND($P254="高",$AG254=0,OR($F254&lt;&gt;"原始數據",$T254&lt;&gt;1)),1,0)</f>
        <v>1</v>
      </c>
      <c r="AI254" s="53" t="str">
        <f aca="false">IF(AND($P254="高",ISNUMBER($AF254)),INDEX(IDX_SrcDate,$AF254),"—")</f>
        <v>—</v>
      </c>
      <c r="AJ254" s="104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6" t="s">
        <v>3833</v>
      </c>
      <c r="B255" s="215" t="s">
        <v>3183</v>
      </c>
      <c r="C255" s="36" t="s">
        <v>3834</v>
      </c>
      <c r="D255" s="36" t="s">
        <v>3835</v>
      </c>
      <c r="E255" s="19" t="s">
        <v>3836</v>
      </c>
      <c r="F255" s="36" t="s">
        <v>80</v>
      </c>
      <c r="G255" s="215" t="s">
        <v>3185</v>
      </c>
      <c r="H255" s="36" t="s">
        <v>587</v>
      </c>
      <c r="I255" s="6" t="s">
        <v>587</v>
      </c>
      <c r="J255" s="36" t="s">
        <v>587</v>
      </c>
      <c r="K255" s="185" t="n">
        <f aca="false">MAX(1,Workload!C5*0.5)</f>
        <v>1</v>
      </c>
      <c r="L255" s="185" t="n">
        <f aca="false">Workload!C5*2</f>
        <v>2</v>
      </c>
      <c r="M255" s="36" t="s">
        <v>3837</v>
      </c>
      <c r="N255" s="19" t="s">
        <v>3838</v>
      </c>
      <c r="O255" s="6" t="s">
        <v>587</v>
      </c>
      <c r="P255" s="215" t="s">
        <v>1116</v>
      </c>
      <c r="Q255" s="41" t="n">
        <f aca="false">Workload!C5</f>
        <v>1</v>
      </c>
      <c r="R255" s="36" t="s">
        <v>587</v>
      </c>
      <c r="S255" s="35" t="str">
        <f aca="false">IF(ISNUMBER($AF255),INDEX(IDX_SrcStat,$AF255),"—")</f>
        <v>—</v>
      </c>
      <c r="T255" s="35" t="str">
        <f aca="false">IF(ISNUMBER($AF255),INDEX(IDX_SrcGrade,$AF255),"—")</f>
        <v>—</v>
      </c>
      <c r="U255" s="35" t="s">
        <v>3189</v>
      </c>
      <c r="V255" s="186" t="n">
        <f aca="false">IF(AND($F255="原始數據",$U255&lt;&gt;"連結 SRC"),1,0)</f>
        <v>0</v>
      </c>
      <c r="W255" s="186" t="n">
        <f aca="false">IF(AND($F255="Analogy",OR($H255="—",$H255="")),1,0)</f>
        <v>0</v>
      </c>
      <c r="X255" s="186" t="n">
        <f aca="false">IF(AND(OR($F255="Analogy",$F255="Assumed"),$G255&lt;&gt;"低",$G255&lt;&gt;"高",NOT(ISNUMBER($K255)),NOT(ISNUMBER($L255)),OR($M255="—",$M255="")),1,0)</f>
        <v>0</v>
      </c>
      <c r="Y255" s="186" t="n">
        <f aca="false">IF(AND(OR($F255="Analogy",$F255="Assumed",$F255="Derived（待改公式）",$F255="Derived（公式）"),OR($N255="—",$N255="",$N255=0)),1,0)</f>
        <v>0</v>
      </c>
      <c r="Z255" s="186" t="n">
        <f aca="false">IF(AND($F255="Decision",OR($J255="—",$J255="")),1,0)</f>
        <v>0</v>
      </c>
      <c r="AA255" s="183" t="n">
        <f aca="false">IF(OR($J255="—",$J255=""),0,IF(COUNTIF(Decisions!$A$5:$A$300,$J255)=0,1,0))</f>
        <v>0</v>
      </c>
      <c r="AB255" s="186" t="n">
        <f aca="false">IF(AND($F255="原始數據",$S255&lt;&gt;"Active"),1,0)</f>
        <v>0</v>
      </c>
      <c r="AC255" s="186" t="n">
        <f aca="false">IF(AND(ISNUMBER($K255),ISNUMBER($L255),ISNUMBER($Q255)),IF(OR($Q255&lt;MIN($K255,$L255),$Q255&gt;MAX($K255,$L255)),1,0),0)</f>
        <v>0</v>
      </c>
      <c r="AD255" s="186" t="n">
        <f aca="false">IF(AND(ISNUMBER($T255),$P255="高"),IF($T255=3,1,0),0)</f>
        <v>0</v>
      </c>
      <c r="AE255" s="186" t="n">
        <f aca="false">IF($S255="不存在",1,0)</f>
        <v>0</v>
      </c>
      <c r="AF255" s="35" t="str">
        <f aca="false">IF(OR($H255="—",$H255=""),"—",MATCH($H255,IDX_SrcID,0))</f>
        <v>—</v>
      </c>
      <c r="AG255" s="104" t="n">
        <f aca="false">IF(AND($P255="高",OR($AD255=1,$X255=1)),1,0)</f>
        <v>0</v>
      </c>
      <c r="AH255" s="104" t="n">
        <f aca="false">IF(AND($P255="高",$AG255=0,OR($F255&lt;&gt;"原始數據",$T255&lt;&gt;1)),1,0)</f>
        <v>1</v>
      </c>
      <c r="AI255" s="53" t="str">
        <f aca="false">IF(AND($P255="高",ISNUMBER($AF255)),INDEX(IDX_SrcDate,$AF255),"—")</f>
        <v>—</v>
      </c>
      <c r="AJ255" s="104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6" t="s">
        <v>3839</v>
      </c>
      <c r="B256" s="215" t="s">
        <v>3183</v>
      </c>
      <c r="C256" s="36" t="s">
        <v>3834</v>
      </c>
      <c r="D256" s="36" t="s">
        <v>3840</v>
      </c>
      <c r="E256" s="19" t="s">
        <v>3836</v>
      </c>
      <c r="F256" s="36" t="s">
        <v>80</v>
      </c>
      <c r="G256" s="215" t="s">
        <v>3185</v>
      </c>
      <c r="H256" s="36" t="s">
        <v>587</v>
      </c>
      <c r="I256" s="6" t="s">
        <v>587</v>
      </c>
      <c r="J256" s="36" t="s">
        <v>587</v>
      </c>
      <c r="K256" s="185" t="n">
        <f aca="false">MAX(1,Workload!D5*0.5)</f>
        <v>1</v>
      </c>
      <c r="L256" s="185" t="n">
        <f aca="false">Workload!D5*2</f>
        <v>2</v>
      </c>
      <c r="M256" s="36" t="s">
        <v>3837</v>
      </c>
      <c r="N256" s="19" t="s">
        <v>3838</v>
      </c>
      <c r="O256" s="6" t="s">
        <v>587</v>
      </c>
      <c r="P256" s="215" t="s">
        <v>1116</v>
      </c>
      <c r="Q256" s="41" t="n">
        <f aca="false">Workload!D5</f>
        <v>1</v>
      </c>
      <c r="R256" s="36" t="s">
        <v>587</v>
      </c>
      <c r="S256" s="35" t="str">
        <f aca="false">IF(ISNUMBER($AF256),INDEX(IDX_SrcStat,$AF256),"—")</f>
        <v>—</v>
      </c>
      <c r="T256" s="35" t="str">
        <f aca="false">IF(ISNUMBER($AF256),INDEX(IDX_SrcGrade,$AF256),"—")</f>
        <v>—</v>
      </c>
      <c r="U256" s="35" t="s">
        <v>3189</v>
      </c>
      <c r="V256" s="186" t="n">
        <f aca="false">IF(AND($F256="原始數據",$U256&lt;&gt;"連結 SRC"),1,0)</f>
        <v>0</v>
      </c>
      <c r="W256" s="186" t="n">
        <f aca="false">IF(AND($F256="Analogy",OR($H256="—",$H256="")),1,0)</f>
        <v>0</v>
      </c>
      <c r="X256" s="186" t="n">
        <f aca="false">IF(AND(OR($F256="Analogy",$F256="Assumed"),$G256&lt;&gt;"低",$G256&lt;&gt;"高",NOT(ISNUMBER($K256)),NOT(ISNUMBER($L256)),OR($M256="—",$M256="")),1,0)</f>
        <v>0</v>
      </c>
      <c r="Y256" s="186" t="n">
        <f aca="false">IF(AND(OR($F256="Analogy",$F256="Assumed",$F256="Derived（待改公式）",$F256="Derived（公式）"),OR($N256="—",$N256="",$N256=0)),1,0)</f>
        <v>0</v>
      </c>
      <c r="Z256" s="186" t="n">
        <f aca="false">IF(AND($F256="Decision",OR($J256="—",$J256="")),1,0)</f>
        <v>0</v>
      </c>
      <c r="AA256" s="183" t="n">
        <f aca="false">IF(OR($J256="—",$J256=""),0,IF(COUNTIF(Decisions!$A$5:$A$300,$J256)=0,1,0))</f>
        <v>0</v>
      </c>
      <c r="AB256" s="186" t="n">
        <f aca="false">IF(AND($F256="原始數據",$S256&lt;&gt;"Active"),1,0)</f>
        <v>0</v>
      </c>
      <c r="AC256" s="186" t="n">
        <f aca="false">IF(AND(ISNUMBER($K256),ISNUMBER($L256),ISNUMBER($Q256)),IF(OR($Q256&lt;MIN($K256,$L256),$Q256&gt;MAX($K256,$L256)),1,0),0)</f>
        <v>0</v>
      </c>
      <c r="AD256" s="186" t="n">
        <f aca="false">IF(AND(ISNUMBER($T256),$P256="高"),IF($T256=3,1,0),0)</f>
        <v>0</v>
      </c>
      <c r="AE256" s="186" t="n">
        <f aca="false">IF($S256="不存在",1,0)</f>
        <v>0</v>
      </c>
      <c r="AF256" s="35" t="str">
        <f aca="false">IF(OR($H256="—",$H256=""),"—",MATCH($H256,IDX_SrcID,0))</f>
        <v>—</v>
      </c>
      <c r="AG256" s="104" t="n">
        <f aca="false">IF(AND($P256="高",OR($AD256=1,$X256=1)),1,0)</f>
        <v>0</v>
      </c>
      <c r="AH256" s="104" t="n">
        <f aca="false">IF(AND($P256="高",$AG256=0,OR($F256&lt;&gt;"原始數據",$T256&lt;&gt;1)),1,0)</f>
        <v>1</v>
      </c>
      <c r="AI256" s="53" t="str">
        <f aca="false">IF(AND($P256="高",ISNUMBER($AF256)),INDEX(IDX_SrcDate,$AF256),"—")</f>
        <v>—</v>
      </c>
      <c r="AJ256" s="104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6" t="s">
        <v>3841</v>
      </c>
      <c r="B257" s="215" t="s">
        <v>3183</v>
      </c>
      <c r="C257" s="36" t="s">
        <v>3834</v>
      </c>
      <c r="D257" s="36" t="s">
        <v>3055</v>
      </c>
      <c r="E257" s="19" t="s">
        <v>3836</v>
      </c>
      <c r="F257" s="36" t="s">
        <v>80</v>
      </c>
      <c r="G257" s="215" t="s">
        <v>3185</v>
      </c>
      <c r="H257" s="36" t="s">
        <v>587</v>
      </c>
      <c r="I257" s="6" t="s">
        <v>587</v>
      </c>
      <c r="J257" s="36" t="s">
        <v>587</v>
      </c>
      <c r="K257" s="185" t="n">
        <f aca="false">MAX(1,Workload!E5*0.5)</f>
        <v>2</v>
      </c>
      <c r="L257" s="185" t="n">
        <f aca="false">Workload!E5*2</f>
        <v>8</v>
      </c>
      <c r="M257" s="36" t="s">
        <v>3837</v>
      </c>
      <c r="N257" s="19" t="s">
        <v>3838</v>
      </c>
      <c r="O257" s="6" t="s">
        <v>587</v>
      </c>
      <c r="P257" s="215" t="s">
        <v>1116</v>
      </c>
      <c r="Q257" s="41" t="n">
        <f aca="false">Workload!E5</f>
        <v>4</v>
      </c>
      <c r="R257" s="36" t="s">
        <v>587</v>
      </c>
      <c r="S257" s="35" t="str">
        <f aca="false">IF(ISNUMBER($AF257),INDEX(IDX_SrcStat,$AF257),"—")</f>
        <v>—</v>
      </c>
      <c r="T257" s="35" t="str">
        <f aca="false">IF(ISNUMBER($AF257),INDEX(IDX_SrcGrade,$AF257),"—")</f>
        <v>—</v>
      </c>
      <c r="U257" s="35" t="s">
        <v>3189</v>
      </c>
      <c r="V257" s="186" t="n">
        <f aca="false">IF(AND($F257="原始數據",$U257&lt;&gt;"連結 SRC"),1,0)</f>
        <v>0</v>
      </c>
      <c r="W257" s="186" t="n">
        <f aca="false">IF(AND($F257="Analogy",OR($H257="—",$H257="")),1,0)</f>
        <v>0</v>
      </c>
      <c r="X257" s="186" t="n">
        <f aca="false">IF(AND(OR($F257="Analogy",$F257="Assumed"),$G257&lt;&gt;"低",$G257&lt;&gt;"高",NOT(ISNUMBER($K257)),NOT(ISNUMBER($L257)),OR($M257="—",$M257="")),1,0)</f>
        <v>0</v>
      </c>
      <c r="Y257" s="186" t="n">
        <f aca="false">IF(AND(OR($F257="Analogy",$F257="Assumed",$F257="Derived（待改公式）",$F257="Derived（公式）"),OR($N257="—",$N257="",$N257=0)),1,0)</f>
        <v>0</v>
      </c>
      <c r="Z257" s="186" t="n">
        <f aca="false">IF(AND($F257="Decision",OR($J257="—",$J257="")),1,0)</f>
        <v>0</v>
      </c>
      <c r="AA257" s="183" t="n">
        <f aca="false">IF(OR($J257="—",$J257=""),0,IF(COUNTIF(Decisions!$A$5:$A$300,$J257)=0,1,0))</f>
        <v>0</v>
      </c>
      <c r="AB257" s="186" t="n">
        <f aca="false">IF(AND($F257="原始數據",$S257&lt;&gt;"Active"),1,0)</f>
        <v>0</v>
      </c>
      <c r="AC257" s="186" t="n">
        <f aca="false">IF(AND(ISNUMBER($K257),ISNUMBER($L257),ISNUMBER($Q257)),IF(OR($Q257&lt;MIN($K257,$L257),$Q257&gt;MAX($K257,$L257)),1,0),0)</f>
        <v>0</v>
      </c>
      <c r="AD257" s="186" t="n">
        <f aca="false">IF(AND(ISNUMBER($T257),$P257="高"),IF($T257=3,1,0),0)</f>
        <v>0</v>
      </c>
      <c r="AE257" s="186" t="n">
        <f aca="false">IF($S257="不存在",1,0)</f>
        <v>0</v>
      </c>
      <c r="AF257" s="35" t="str">
        <f aca="false">IF(OR($H257="—",$H257=""),"—",MATCH($H257,IDX_SrcID,0))</f>
        <v>—</v>
      </c>
      <c r="AG257" s="104" t="n">
        <f aca="false">IF(AND($P257="高",OR($AD257=1,$X257=1)),1,0)</f>
        <v>0</v>
      </c>
      <c r="AH257" s="104" t="n">
        <f aca="false">IF(AND($P257="高",$AG257=0,OR($F257&lt;&gt;"原始數據",$T257&lt;&gt;1)),1,0)</f>
        <v>1</v>
      </c>
      <c r="AI257" s="53" t="str">
        <f aca="false">IF(AND($P257="高",ISNUMBER($AF257)),INDEX(IDX_SrcDate,$AF257),"—")</f>
        <v>—</v>
      </c>
      <c r="AJ257" s="104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6" t="s">
        <v>3842</v>
      </c>
      <c r="B258" s="215" t="s">
        <v>3183</v>
      </c>
      <c r="C258" s="36" t="s">
        <v>3834</v>
      </c>
      <c r="D258" s="36" t="s">
        <v>3843</v>
      </c>
      <c r="E258" s="19" t="s">
        <v>3836</v>
      </c>
      <c r="F258" s="36" t="s">
        <v>80</v>
      </c>
      <c r="G258" s="215" t="s">
        <v>3185</v>
      </c>
      <c r="H258" s="36" t="s">
        <v>587</v>
      </c>
      <c r="I258" s="6" t="s">
        <v>587</v>
      </c>
      <c r="J258" s="36" t="s">
        <v>587</v>
      </c>
      <c r="K258" s="185" t="n">
        <f aca="false">MAX(1,Workload!F5*0.5)</f>
        <v>2</v>
      </c>
      <c r="L258" s="185" t="n">
        <f aca="false">Workload!F5*2</f>
        <v>8</v>
      </c>
      <c r="M258" s="36" t="s">
        <v>3837</v>
      </c>
      <c r="N258" s="19" t="s">
        <v>3838</v>
      </c>
      <c r="O258" s="6" t="s">
        <v>587</v>
      </c>
      <c r="P258" s="215" t="s">
        <v>1116</v>
      </c>
      <c r="Q258" s="41" t="n">
        <f aca="false">Workload!F5</f>
        <v>4</v>
      </c>
      <c r="R258" s="36" t="s">
        <v>587</v>
      </c>
      <c r="S258" s="35" t="str">
        <f aca="false">IF(ISNUMBER($AF258),INDEX(IDX_SrcStat,$AF258),"—")</f>
        <v>—</v>
      </c>
      <c r="T258" s="35" t="str">
        <f aca="false">IF(ISNUMBER($AF258),INDEX(IDX_SrcGrade,$AF258),"—")</f>
        <v>—</v>
      </c>
      <c r="U258" s="35" t="s">
        <v>3189</v>
      </c>
      <c r="V258" s="186" t="n">
        <f aca="false">IF(AND($F258="原始數據",$U258&lt;&gt;"連結 SRC"),1,0)</f>
        <v>0</v>
      </c>
      <c r="W258" s="186" t="n">
        <f aca="false">IF(AND($F258="Analogy",OR($H258="—",$H258="")),1,0)</f>
        <v>0</v>
      </c>
      <c r="X258" s="186" t="n">
        <f aca="false">IF(AND(OR($F258="Analogy",$F258="Assumed"),$G258&lt;&gt;"低",$G258&lt;&gt;"高",NOT(ISNUMBER($K258)),NOT(ISNUMBER($L258)),OR($M258="—",$M258="")),1,0)</f>
        <v>0</v>
      </c>
      <c r="Y258" s="186" t="n">
        <f aca="false">IF(AND(OR($F258="Analogy",$F258="Assumed",$F258="Derived（待改公式）",$F258="Derived（公式）"),OR($N258="—",$N258="",$N258=0)),1,0)</f>
        <v>0</v>
      </c>
      <c r="Z258" s="186" t="n">
        <f aca="false">IF(AND($F258="Decision",OR($J258="—",$J258="")),1,0)</f>
        <v>0</v>
      </c>
      <c r="AA258" s="183" t="n">
        <f aca="false">IF(OR($J258="—",$J258=""),0,IF(COUNTIF(Decisions!$A$5:$A$300,$J258)=0,1,0))</f>
        <v>0</v>
      </c>
      <c r="AB258" s="186" t="n">
        <f aca="false">IF(AND($F258="原始數據",$S258&lt;&gt;"Active"),1,0)</f>
        <v>0</v>
      </c>
      <c r="AC258" s="186" t="n">
        <f aca="false">IF(AND(ISNUMBER($K258),ISNUMBER($L258),ISNUMBER($Q258)),IF(OR($Q258&lt;MIN($K258,$L258),$Q258&gt;MAX($K258,$L258)),1,0),0)</f>
        <v>0</v>
      </c>
      <c r="AD258" s="186" t="n">
        <f aca="false">IF(AND(ISNUMBER($T258),$P258="高"),IF($T258=3,1,0),0)</f>
        <v>0</v>
      </c>
      <c r="AE258" s="186" t="n">
        <f aca="false">IF($S258="不存在",1,0)</f>
        <v>0</v>
      </c>
      <c r="AF258" s="35" t="str">
        <f aca="false">IF(OR($H258="—",$H258=""),"—",MATCH($H258,IDX_SrcID,0))</f>
        <v>—</v>
      </c>
      <c r="AG258" s="104" t="n">
        <f aca="false">IF(AND($P258="高",OR($AD258=1,$X258=1)),1,0)</f>
        <v>0</v>
      </c>
      <c r="AH258" s="104" t="n">
        <f aca="false">IF(AND($P258="高",$AG258=0,OR($F258&lt;&gt;"原始數據",$T258&lt;&gt;1)),1,0)</f>
        <v>1</v>
      </c>
      <c r="AI258" s="53" t="str">
        <f aca="false">IF(AND($P258="高",ISNUMBER($AF258)),INDEX(IDX_SrcDate,$AF258),"—")</f>
        <v>—</v>
      </c>
      <c r="AJ258" s="104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6" t="s">
        <v>3844</v>
      </c>
      <c r="B259" s="215" t="s">
        <v>3183</v>
      </c>
      <c r="C259" s="36" t="s">
        <v>3834</v>
      </c>
      <c r="D259" s="36" t="s">
        <v>3845</v>
      </c>
      <c r="E259" s="19" t="s">
        <v>3836</v>
      </c>
      <c r="F259" s="36" t="s">
        <v>80</v>
      </c>
      <c r="G259" s="215" t="s">
        <v>3185</v>
      </c>
      <c r="H259" s="36" t="s">
        <v>587</v>
      </c>
      <c r="I259" s="6" t="s">
        <v>587</v>
      </c>
      <c r="J259" s="36" t="s">
        <v>587</v>
      </c>
      <c r="K259" s="185" t="n">
        <f aca="false">MAX(1,Workload!G5*0.5)</f>
        <v>15</v>
      </c>
      <c r="L259" s="185" t="n">
        <f aca="false">Workload!G5*2</f>
        <v>60</v>
      </c>
      <c r="M259" s="36" t="s">
        <v>3837</v>
      </c>
      <c r="N259" s="19" t="s">
        <v>3846</v>
      </c>
      <c r="O259" s="6" t="s">
        <v>587</v>
      </c>
      <c r="P259" s="215" t="s">
        <v>1116</v>
      </c>
      <c r="Q259" s="41" t="n">
        <f aca="false">Workload!G5</f>
        <v>30</v>
      </c>
      <c r="R259" s="36" t="s">
        <v>587</v>
      </c>
      <c r="S259" s="35" t="str">
        <f aca="false">IF(ISNUMBER($AF259),INDEX(IDX_SrcStat,$AF259),"—")</f>
        <v>—</v>
      </c>
      <c r="T259" s="35" t="str">
        <f aca="false">IF(ISNUMBER($AF259),INDEX(IDX_SrcGrade,$AF259),"—")</f>
        <v>—</v>
      </c>
      <c r="U259" s="35" t="s">
        <v>3189</v>
      </c>
      <c r="V259" s="186" t="n">
        <f aca="false">IF(AND($F259="原始數據",$U259&lt;&gt;"連結 SRC"),1,0)</f>
        <v>0</v>
      </c>
      <c r="W259" s="186" t="n">
        <f aca="false">IF(AND($F259="Analogy",OR($H259="—",$H259="")),1,0)</f>
        <v>0</v>
      </c>
      <c r="X259" s="186" t="n">
        <f aca="false">IF(AND(OR($F259="Analogy",$F259="Assumed"),$G259&lt;&gt;"低",$G259&lt;&gt;"高",NOT(ISNUMBER($K259)),NOT(ISNUMBER($L259)),OR($M259="—",$M259="")),1,0)</f>
        <v>0</v>
      </c>
      <c r="Y259" s="186" t="n">
        <f aca="false">IF(AND(OR($F259="Analogy",$F259="Assumed",$F259="Derived（待改公式）",$F259="Derived（公式）"),OR($N259="—",$N259="",$N259=0)),1,0)</f>
        <v>0</v>
      </c>
      <c r="Z259" s="186" t="n">
        <f aca="false">IF(AND($F259="Decision",OR($J259="—",$J259="")),1,0)</f>
        <v>0</v>
      </c>
      <c r="AA259" s="183" t="n">
        <f aca="false">IF(OR($J259="—",$J259=""),0,IF(COUNTIF(Decisions!$A$5:$A$300,$J259)=0,1,0))</f>
        <v>0</v>
      </c>
      <c r="AB259" s="186" t="n">
        <f aca="false">IF(AND($F259="原始數據",$S259&lt;&gt;"Active"),1,0)</f>
        <v>0</v>
      </c>
      <c r="AC259" s="186" t="n">
        <f aca="false">IF(AND(ISNUMBER($K259),ISNUMBER($L259),ISNUMBER($Q259)),IF(OR($Q259&lt;MIN($K259,$L259),$Q259&gt;MAX($K259,$L259)),1,0),0)</f>
        <v>0</v>
      </c>
      <c r="AD259" s="186" t="n">
        <f aca="false">IF(AND(ISNUMBER($T259),$P259="高"),IF($T259=3,1,0),0)</f>
        <v>0</v>
      </c>
      <c r="AE259" s="186" t="n">
        <f aca="false">IF($S259="不存在",1,0)</f>
        <v>0</v>
      </c>
      <c r="AF259" s="35" t="str">
        <f aca="false">IF(OR($H259="—",$H259=""),"—",MATCH($H259,IDX_SrcID,0))</f>
        <v>—</v>
      </c>
      <c r="AG259" s="104" t="n">
        <f aca="false">IF(AND($P259="高",OR($AD259=1,$X259=1)),1,0)</f>
        <v>0</v>
      </c>
      <c r="AH259" s="104" t="n">
        <f aca="false">IF(AND($P259="高",$AG259=0,OR($F259&lt;&gt;"原始數據",$T259&lt;&gt;1)),1,0)</f>
        <v>1</v>
      </c>
      <c r="AI259" s="53" t="str">
        <f aca="false">IF(AND($P259="高",ISNUMBER($AF259)),INDEX(IDX_SrcDate,$AF259),"—")</f>
        <v>—</v>
      </c>
      <c r="AJ259" s="104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6" t="s">
        <v>3847</v>
      </c>
      <c r="B260" s="215" t="s">
        <v>3183</v>
      </c>
      <c r="C260" s="36" t="s">
        <v>3834</v>
      </c>
      <c r="D260" s="36" t="s">
        <v>3342</v>
      </c>
      <c r="E260" s="19" t="s">
        <v>3848</v>
      </c>
      <c r="F260" s="36" t="s">
        <v>80</v>
      </c>
      <c r="G260" s="215" t="s">
        <v>3185</v>
      </c>
      <c r="H260" s="36" t="s">
        <v>587</v>
      </c>
      <c r="I260" s="6" t="s">
        <v>587</v>
      </c>
      <c r="J260" s="36" t="s">
        <v>587</v>
      </c>
      <c r="K260" s="185" t="n">
        <f aca="false">Workload!C6*0.5</f>
        <v>1000</v>
      </c>
      <c r="L260" s="185" t="n">
        <f aca="false">Workload!C6*2</f>
        <v>4000</v>
      </c>
      <c r="M260" s="36" t="s">
        <v>3817</v>
      </c>
      <c r="N260" s="19" t="s">
        <v>3849</v>
      </c>
      <c r="O260" s="6" t="s">
        <v>587</v>
      </c>
      <c r="P260" s="215" t="s">
        <v>1115</v>
      </c>
      <c r="Q260" s="41" t="n">
        <f aca="false">Workload!C6</f>
        <v>2000</v>
      </c>
      <c r="R260" s="36" t="s">
        <v>587</v>
      </c>
      <c r="S260" s="35" t="str">
        <f aca="false">IF(ISNUMBER($AF260),INDEX(IDX_SrcStat,$AF260),"—")</f>
        <v>—</v>
      </c>
      <c r="T260" s="35" t="str">
        <f aca="false">IF(ISNUMBER($AF260),INDEX(IDX_SrcGrade,$AF260),"—")</f>
        <v>—</v>
      </c>
      <c r="U260" s="35" t="s">
        <v>3189</v>
      </c>
      <c r="V260" s="186" t="n">
        <f aca="false">IF(AND($F260="原始數據",$U260&lt;&gt;"連結 SRC"),1,0)</f>
        <v>0</v>
      </c>
      <c r="W260" s="186" t="n">
        <f aca="false">IF(AND($F260="Analogy",OR($H260="—",$H260="")),1,0)</f>
        <v>0</v>
      </c>
      <c r="X260" s="186" t="n">
        <f aca="false">IF(AND(OR($F260="Analogy",$F260="Assumed"),$G260&lt;&gt;"低",$G260&lt;&gt;"高",NOT(ISNUMBER($K260)),NOT(ISNUMBER($L260)),OR($M260="—",$M260="")),1,0)</f>
        <v>0</v>
      </c>
      <c r="Y260" s="186" t="n">
        <f aca="false">IF(AND(OR($F260="Analogy",$F260="Assumed",$F260="Derived（待改公式）",$F260="Derived（公式）"),OR($N260="—",$N260="",$N260=0)),1,0)</f>
        <v>0</v>
      </c>
      <c r="Z260" s="186" t="n">
        <f aca="false">IF(AND($F260="Decision",OR($J260="—",$J260="")),1,0)</f>
        <v>0</v>
      </c>
      <c r="AA260" s="183" t="n">
        <f aca="false">IF(OR($J260="—",$J260=""),0,IF(COUNTIF(Decisions!$A$5:$A$300,$J260)=0,1,0))</f>
        <v>0</v>
      </c>
      <c r="AB260" s="186" t="n">
        <f aca="false">IF(AND($F260="原始數據",$S260&lt;&gt;"Active"),1,0)</f>
        <v>0</v>
      </c>
      <c r="AC260" s="186" t="n">
        <f aca="false">IF(AND(ISNUMBER($K260),ISNUMBER($L260),ISNUMBER($Q260)),IF(OR($Q260&lt;MIN($K260,$L260),$Q260&gt;MAX($K260,$L260)),1,0),0)</f>
        <v>0</v>
      </c>
      <c r="AD260" s="186" t="n">
        <f aca="false">IF(AND(ISNUMBER($T260),$P260="高"),IF($T260=3,1,0),0)</f>
        <v>0</v>
      </c>
      <c r="AE260" s="186" t="n">
        <f aca="false">IF($S260="不存在",1,0)</f>
        <v>0</v>
      </c>
      <c r="AF260" s="35" t="str">
        <f aca="false">IF(OR($H260="—",$H260=""),"—",MATCH($H260,IDX_SrcID,0))</f>
        <v>—</v>
      </c>
      <c r="AG260" s="104" t="n">
        <f aca="false">IF(AND($P260="高",OR($AD260=1,$X260=1)),1,0)</f>
        <v>0</v>
      </c>
      <c r="AH260" s="104" t="n">
        <f aca="false">IF(AND($P260="高",$AG260=0,OR($F260&lt;&gt;"原始數據",$T260&lt;&gt;1)),1,0)</f>
        <v>0</v>
      </c>
      <c r="AI260" s="53" t="str">
        <f aca="false">IF(AND($P260="高",ISNUMBER($AF260)),INDEX(IDX_SrcDate,$AF260),"—")</f>
        <v>—</v>
      </c>
      <c r="AJ260" s="104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6" t="s">
        <v>3850</v>
      </c>
      <c r="B261" s="215" t="s">
        <v>3183</v>
      </c>
      <c r="C261" s="36" t="s">
        <v>3834</v>
      </c>
      <c r="D261" s="36" t="s">
        <v>3346</v>
      </c>
      <c r="E261" s="19" t="s">
        <v>3848</v>
      </c>
      <c r="F261" s="36" t="s">
        <v>80</v>
      </c>
      <c r="G261" s="215" t="s">
        <v>3185</v>
      </c>
      <c r="H261" s="36" t="s">
        <v>587</v>
      </c>
      <c r="I261" s="6" t="s">
        <v>587</v>
      </c>
      <c r="J261" s="36" t="s">
        <v>587</v>
      </c>
      <c r="K261" s="185" t="n">
        <f aca="false">Workload!D6*0.5</f>
        <v>1000</v>
      </c>
      <c r="L261" s="185" t="n">
        <f aca="false">Workload!D6*2</f>
        <v>4000</v>
      </c>
      <c r="M261" s="36" t="s">
        <v>3817</v>
      </c>
      <c r="N261" s="19" t="s">
        <v>3849</v>
      </c>
      <c r="O261" s="6" t="s">
        <v>587</v>
      </c>
      <c r="P261" s="215" t="s">
        <v>1115</v>
      </c>
      <c r="Q261" s="41" t="n">
        <f aca="false">Workload!D6</f>
        <v>2000</v>
      </c>
      <c r="R261" s="36" t="s">
        <v>587</v>
      </c>
      <c r="S261" s="35" t="str">
        <f aca="false">IF(ISNUMBER($AF261),INDEX(IDX_SrcStat,$AF261),"—")</f>
        <v>—</v>
      </c>
      <c r="T261" s="35" t="str">
        <f aca="false">IF(ISNUMBER($AF261),INDEX(IDX_SrcGrade,$AF261),"—")</f>
        <v>—</v>
      </c>
      <c r="U261" s="35" t="s">
        <v>3189</v>
      </c>
      <c r="V261" s="186" t="n">
        <f aca="false">IF(AND($F261="原始數據",$U261&lt;&gt;"連結 SRC"),1,0)</f>
        <v>0</v>
      </c>
      <c r="W261" s="186" t="n">
        <f aca="false">IF(AND($F261="Analogy",OR($H261="—",$H261="")),1,0)</f>
        <v>0</v>
      </c>
      <c r="X261" s="186" t="n">
        <f aca="false">IF(AND(OR($F261="Analogy",$F261="Assumed"),$G261&lt;&gt;"低",$G261&lt;&gt;"高",NOT(ISNUMBER($K261)),NOT(ISNUMBER($L261)),OR($M261="—",$M261="")),1,0)</f>
        <v>0</v>
      </c>
      <c r="Y261" s="186" t="n">
        <f aca="false">IF(AND(OR($F261="Analogy",$F261="Assumed",$F261="Derived（待改公式）",$F261="Derived（公式）"),OR($N261="—",$N261="",$N261=0)),1,0)</f>
        <v>0</v>
      </c>
      <c r="Z261" s="186" t="n">
        <f aca="false">IF(AND($F261="Decision",OR($J261="—",$J261="")),1,0)</f>
        <v>0</v>
      </c>
      <c r="AA261" s="183" t="n">
        <f aca="false">IF(OR($J261="—",$J261=""),0,IF(COUNTIF(Decisions!$A$5:$A$300,$J261)=0,1,0))</f>
        <v>0</v>
      </c>
      <c r="AB261" s="186" t="n">
        <f aca="false">IF(AND($F261="原始數據",$S261&lt;&gt;"Active"),1,0)</f>
        <v>0</v>
      </c>
      <c r="AC261" s="186" t="n">
        <f aca="false">IF(AND(ISNUMBER($K261),ISNUMBER($L261),ISNUMBER($Q261)),IF(OR($Q261&lt;MIN($K261,$L261),$Q261&gt;MAX($K261,$L261)),1,0),0)</f>
        <v>0</v>
      </c>
      <c r="AD261" s="186" t="n">
        <f aca="false">IF(AND(ISNUMBER($T261),$P261="高"),IF($T261=3,1,0),0)</f>
        <v>0</v>
      </c>
      <c r="AE261" s="186" t="n">
        <f aca="false">IF($S261="不存在",1,0)</f>
        <v>0</v>
      </c>
      <c r="AF261" s="35" t="str">
        <f aca="false">IF(OR($H261="—",$H261=""),"—",MATCH($H261,IDX_SrcID,0))</f>
        <v>—</v>
      </c>
      <c r="AG261" s="104" t="n">
        <f aca="false">IF(AND($P261="高",OR($AD261=1,$X261=1)),1,0)</f>
        <v>0</v>
      </c>
      <c r="AH261" s="104" t="n">
        <f aca="false">IF(AND($P261="高",$AG261=0,OR($F261&lt;&gt;"原始數據",$T261&lt;&gt;1)),1,0)</f>
        <v>0</v>
      </c>
      <c r="AI261" s="53" t="str">
        <f aca="false">IF(AND($P261="高",ISNUMBER($AF261)),INDEX(IDX_SrcDate,$AF261),"—")</f>
        <v>—</v>
      </c>
      <c r="AJ261" s="104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6" t="s">
        <v>3851</v>
      </c>
      <c r="B262" s="215" t="s">
        <v>3183</v>
      </c>
      <c r="C262" s="36" t="s">
        <v>3834</v>
      </c>
      <c r="D262" s="36" t="s">
        <v>3057</v>
      </c>
      <c r="E262" s="19" t="s">
        <v>3848</v>
      </c>
      <c r="F262" s="36" t="s">
        <v>80</v>
      </c>
      <c r="G262" s="215" t="s">
        <v>3185</v>
      </c>
      <c r="H262" s="36" t="s">
        <v>587</v>
      </c>
      <c r="I262" s="6" t="s">
        <v>587</v>
      </c>
      <c r="J262" s="36" t="s">
        <v>587</v>
      </c>
      <c r="K262" s="185" t="n">
        <f aca="false">Workload!E6*0.5</f>
        <v>1500</v>
      </c>
      <c r="L262" s="185" t="n">
        <f aca="false">Workload!E6*2</f>
        <v>6000</v>
      </c>
      <c r="M262" s="36" t="s">
        <v>3817</v>
      </c>
      <c r="N262" s="19" t="s">
        <v>3849</v>
      </c>
      <c r="O262" s="6" t="s">
        <v>587</v>
      </c>
      <c r="P262" s="215" t="s">
        <v>1115</v>
      </c>
      <c r="Q262" s="41" t="n">
        <f aca="false">Workload!E6</f>
        <v>3000</v>
      </c>
      <c r="R262" s="36" t="s">
        <v>587</v>
      </c>
      <c r="S262" s="35" t="str">
        <f aca="false">IF(ISNUMBER($AF262),INDEX(IDX_SrcStat,$AF262),"—")</f>
        <v>—</v>
      </c>
      <c r="T262" s="35" t="str">
        <f aca="false">IF(ISNUMBER($AF262),INDEX(IDX_SrcGrade,$AF262),"—")</f>
        <v>—</v>
      </c>
      <c r="U262" s="35" t="s">
        <v>3189</v>
      </c>
      <c r="V262" s="186" t="n">
        <f aca="false">IF(AND($F262="原始數據",$U262&lt;&gt;"連結 SRC"),1,0)</f>
        <v>0</v>
      </c>
      <c r="W262" s="186" t="n">
        <f aca="false">IF(AND($F262="Analogy",OR($H262="—",$H262="")),1,0)</f>
        <v>0</v>
      </c>
      <c r="X262" s="186" t="n">
        <f aca="false">IF(AND(OR($F262="Analogy",$F262="Assumed"),$G262&lt;&gt;"低",$G262&lt;&gt;"高",NOT(ISNUMBER($K262)),NOT(ISNUMBER($L262)),OR($M262="—",$M262="")),1,0)</f>
        <v>0</v>
      </c>
      <c r="Y262" s="186" t="n">
        <f aca="false">IF(AND(OR($F262="Analogy",$F262="Assumed",$F262="Derived（待改公式）",$F262="Derived（公式）"),OR($N262="—",$N262="",$N262=0)),1,0)</f>
        <v>0</v>
      </c>
      <c r="Z262" s="186" t="n">
        <f aca="false">IF(AND($F262="Decision",OR($J262="—",$J262="")),1,0)</f>
        <v>0</v>
      </c>
      <c r="AA262" s="183" t="n">
        <f aca="false">IF(OR($J262="—",$J262=""),0,IF(COUNTIF(Decisions!$A$5:$A$300,$J262)=0,1,0))</f>
        <v>0</v>
      </c>
      <c r="AB262" s="186" t="n">
        <f aca="false">IF(AND($F262="原始數據",$S262&lt;&gt;"Active"),1,0)</f>
        <v>0</v>
      </c>
      <c r="AC262" s="186" t="n">
        <f aca="false">IF(AND(ISNUMBER($K262),ISNUMBER($L262),ISNUMBER($Q262)),IF(OR($Q262&lt;MIN($K262,$L262),$Q262&gt;MAX($K262,$L262)),1,0),0)</f>
        <v>0</v>
      </c>
      <c r="AD262" s="186" t="n">
        <f aca="false">IF(AND(ISNUMBER($T262),$P262="高"),IF($T262=3,1,0),0)</f>
        <v>0</v>
      </c>
      <c r="AE262" s="186" t="n">
        <f aca="false">IF($S262="不存在",1,0)</f>
        <v>0</v>
      </c>
      <c r="AF262" s="35" t="str">
        <f aca="false">IF(OR($H262="—",$H262=""),"—",MATCH($H262,IDX_SrcID,0))</f>
        <v>—</v>
      </c>
      <c r="AG262" s="104" t="n">
        <f aca="false">IF(AND($P262="高",OR($AD262=1,$X262=1)),1,0)</f>
        <v>0</v>
      </c>
      <c r="AH262" s="104" t="n">
        <f aca="false">IF(AND($P262="高",$AG262=0,OR($F262&lt;&gt;"原始數據",$T262&lt;&gt;1)),1,0)</f>
        <v>0</v>
      </c>
      <c r="AI262" s="53" t="str">
        <f aca="false">IF(AND($P262="高",ISNUMBER($AF262)),INDEX(IDX_SrcDate,$AF262),"—")</f>
        <v>—</v>
      </c>
      <c r="AJ262" s="104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6" t="s">
        <v>3852</v>
      </c>
      <c r="B263" s="215" t="s">
        <v>3183</v>
      </c>
      <c r="C263" s="36" t="s">
        <v>3834</v>
      </c>
      <c r="D263" s="36" t="s">
        <v>3350</v>
      </c>
      <c r="E263" s="19" t="s">
        <v>3848</v>
      </c>
      <c r="F263" s="36" t="s">
        <v>80</v>
      </c>
      <c r="G263" s="215" t="s">
        <v>3185</v>
      </c>
      <c r="H263" s="36" t="s">
        <v>587</v>
      </c>
      <c r="I263" s="6" t="s">
        <v>587</v>
      </c>
      <c r="J263" s="36" t="s">
        <v>587</v>
      </c>
      <c r="K263" s="185" t="n">
        <f aca="false">Workload!F6*0.5</f>
        <v>1500</v>
      </c>
      <c r="L263" s="185" t="n">
        <f aca="false">Workload!F6*2</f>
        <v>6000</v>
      </c>
      <c r="M263" s="36" t="s">
        <v>3817</v>
      </c>
      <c r="N263" s="19" t="s">
        <v>3849</v>
      </c>
      <c r="O263" s="6" t="s">
        <v>587</v>
      </c>
      <c r="P263" s="215" t="s">
        <v>1115</v>
      </c>
      <c r="Q263" s="41" t="n">
        <f aca="false">Workload!F6</f>
        <v>3000</v>
      </c>
      <c r="R263" s="36" t="s">
        <v>587</v>
      </c>
      <c r="S263" s="35" t="str">
        <f aca="false">IF(ISNUMBER($AF263),INDEX(IDX_SrcStat,$AF263),"—")</f>
        <v>—</v>
      </c>
      <c r="T263" s="35" t="str">
        <f aca="false">IF(ISNUMBER($AF263),INDEX(IDX_SrcGrade,$AF263),"—")</f>
        <v>—</v>
      </c>
      <c r="U263" s="35" t="s">
        <v>3189</v>
      </c>
      <c r="V263" s="186" t="n">
        <f aca="false">IF(AND($F263="原始數據",$U263&lt;&gt;"連結 SRC"),1,0)</f>
        <v>0</v>
      </c>
      <c r="W263" s="186" t="n">
        <f aca="false">IF(AND($F263="Analogy",OR($H263="—",$H263="")),1,0)</f>
        <v>0</v>
      </c>
      <c r="X263" s="186" t="n">
        <f aca="false">IF(AND(OR($F263="Analogy",$F263="Assumed"),$G263&lt;&gt;"低",$G263&lt;&gt;"高",NOT(ISNUMBER($K263)),NOT(ISNUMBER($L263)),OR($M263="—",$M263="")),1,0)</f>
        <v>0</v>
      </c>
      <c r="Y263" s="186" t="n">
        <f aca="false">IF(AND(OR($F263="Analogy",$F263="Assumed",$F263="Derived（待改公式）",$F263="Derived（公式）"),OR($N263="—",$N263="",$N263=0)),1,0)</f>
        <v>0</v>
      </c>
      <c r="Z263" s="186" t="n">
        <f aca="false">IF(AND($F263="Decision",OR($J263="—",$J263="")),1,0)</f>
        <v>0</v>
      </c>
      <c r="AA263" s="183" t="n">
        <f aca="false">IF(OR($J263="—",$J263=""),0,IF(COUNTIF(Decisions!$A$5:$A$300,$J263)=0,1,0))</f>
        <v>0</v>
      </c>
      <c r="AB263" s="186" t="n">
        <f aca="false">IF(AND($F263="原始數據",$S263&lt;&gt;"Active"),1,0)</f>
        <v>0</v>
      </c>
      <c r="AC263" s="186" t="n">
        <f aca="false">IF(AND(ISNUMBER($K263),ISNUMBER($L263),ISNUMBER($Q263)),IF(OR($Q263&lt;MIN($K263,$L263),$Q263&gt;MAX($K263,$L263)),1,0),0)</f>
        <v>0</v>
      </c>
      <c r="AD263" s="186" t="n">
        <f aca="false">IF(AND(ISNUMBER($T263),$P263="高"),IF($T263=3,1,0),0)</f>
        <v>0</v>
      </c>
      <c r="AE263" s="186" t="n">
        <f aca="false">IF($S263="不存在",1,0)</f>
        <v>0</v>
      </c>
      <c r="AF263" s="35" t="str">
        <f aca="false">IF(OR($H263="—",$H263=""),"—",MATCH($H263,IDX_SrcID,0))</f>
        <v>—</v>
      </c>
      <c r="AG263" s="104" t="n">
        <f aca="false">IF(AND($P263="高",OR($AD263=1,$X263=1)),1,0)</f>
        <v>0</v>
      </c>
      <c r="AH263" s="104" t="n">
        <f aca="false">IF(AND($P263="高",$AG263=0,OR($F263&lt;&gt;"原始數據",$T263&lt;&gt;1)),1,0)</f>
        <v>0</v>
      </c>
      <c r="AI263" s="53" t="str">
        <f aca="false">IF(AND($P263="高",ISNUMBER($AF263)),INDEX(IDX_SrcDate,$AF263),"—")</f>
        <v>—</v>
      </c>
      <c r="AJ263" s="104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6" t="s">
        <v>3853</v>
      </c>
      <c r="B264" s="215" t="s">
        <v>3183</v>
      </c>
      <c r="C264" s="36" t="s">
        <v>3834</v>
      </c>
      <c r="D264" s="36" t="s">
        <v>3352</v>
      </c>
      <c r="E264" s="19" t="s">
        <v>3848</v>
      </c>
      <c r="F264" s="36" t="s">
        <v>80</v>
      </c>
      <c r="G264" s="215" t="s">
        <v>3185</v>
      </c>
      <c r="H264" s="36" t="s">
        <v>587</v>
      </c>
      <c r="I264" s="6" t="s">
        <v>587</v>
      </c>
      <c r="J264" s="36" t="s">
        <v>587</v>
      </c>
      <c r="K264" s="185" t="n">
        <f aca="false">Workload!G6*0.5</f>
        <v>6000</v>
      </c>
      <c r="L264" s="185" t="n">
        <f aca="false">Workload!G6*2</f>
        <v>24000</v>
      </c>
      <c r="M264" s="36" t="s">
        <v>3817</v>
      </c>
      <c r="N264" s="19" t="s">
        <v>3849</v>
      </c>
      <c r="O264" s="6" t="s">
        <v>587</v>
      </c>
      <c r="P264" s="215" t="s">
        <v>1115</v>
      </c>
      <c r="Q264" s="41" t="n">
        <f aca="false">Workload!G6</f>
        <v>12000</v>
      </c>
      <c r="R264" s="36" t="s">
        <v>587</v>
      </c>
      <c r="S264" s="35" t="str">
        <f aca="false">IF(ISNUMBER($AF264),INDEX(IDX_SrcStat,$AF264),"—")</f>
        <v>—</v>
      </c>
      <c r="T264" s="35" t="str">
        <f aca="false">IF(ISNUMBER($AF264),INDEX(IDX_SrcGrade,$AF264),"—")</f>
        <v>—</v>
      </c>
      <c r="U264" s="35" t="s">
        <v>3189</v>
      </c>
      <c r="V264" s="186" t="n">
        <f aca="false">IF(AND($F264="原始數據",$U264&lt;&gt;"連結 SRC"),1,0)</f>
        <v>0</v>
      </c>
      <c r="W264" s="186" t="n">
        <f aca="false">IF(AND($F264="Analogy",OR($H264="—",$H264="")),1,0)</f>
        <v>0</v>
      </c>
      <c r="X264" s="186" t="n">
        <f aca="false">IF(AND(OR($F264="Analogy",$F264="Assumed"),$G264&lt;&gt;"低",$G264&lt;&gt;"高",NOT(ISNUMBER($K264)),NOT(ISNUMBER($L264)),OR($M264="—",$M264="")),1,0)</f>
        <v>0</v>
      </c>
      <c r="Y264" s="186" t="n">
        <f aca="false">IF(AND(OR($F264="Analogy",$F264="Assumed",$F264="Derived（待改公式）",$F264="Derived（公式）"),OR($N264="—",$N264="",$N264=0)),1,0)</f>
        <v>0</v>
      </c>
      <c r="Z264" s="186" t="n">
        <f aca="false">IF(AND($F264="Decision",OR($J264="—",$J264="")),1,0)</f>
        <v>0</v>
      </c>
      <c r="AA264" s="183" t="n">
        <f aca="false">IF(OR($J264="—",$J264=""),0,IF(COUNTIF(Decisions!$A$5:$A$300,$J264)=0,1,0))</f>
        <v>0</v>
      </c>
      <c r="AB264" s="186" t="n">
        <f aca="false">IF(AND($F264="原始數據",$S264&lt;&gt;"Active"),1,0)</f>
        <v>0</v>
      </c>
      <c r="AC264" s="186" t="n">
        <f aca="false">IF(AND(ISNUMBER($K264),ISNUMBER($L264),ISNUMBER($Q264)),IF(OR($Q264&lt;MIN($K264,$L264),$Q264&gt;MAX($K264,$L264)),1,0),0)</f>
        <v>0</v>
      </c>
      <c r="AD264" s="186" t="n">
        <f aca="false">IF(AND(ISNUMBER($T264),$P264="高"),IF($T264=3,1,0),0)</f>
        <v>0</v>
      </c>
      <c r="AE264" s="186" t="n">
        <f aca="false">IF($S264="不存在",1,0)</f>
        <v>0</v>
      </c>
      <c r="AF264" s="35" t="str">
        <f aca="false">IF(OR($H264="—",$H264=""),"—",MATCH($H264,IDX_SrcID,0))</f>
        <v>—</v>
      </c>
      <c r="AG264" s="104" t="n">
        <f aca="false">IF(AND($P264="高",OR($AD264=1,$X264=1)),1,0)</f>
        <v>0</v>
      </c>
      <c r="AH264" s="104" t="n">
        <f aca="false">IF(AND($P264="高",$AG264=0,OR($F264&lt;&gt;"原始數據",$T264&lt;&gt;1)),1,0)</f>
        <v>0</v>
      </c>
      <c r="AI264" s="53" t="str">
        <f aca="false">IF(AND($P264="高",ISNUMBER($AF264)),INDEX(IDX_SrcDate,$AF264),"—")</f>
        <v>—</v>
      </c>
      <c r="AJ264" s="104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6" t="s">
        <v>3854</v>
      </c>
      <c r="B265" s="215" t="s">
        <v>3183</v>
      </c>
      <c r="C265" s="36" t="s">
        <v>3834</v>
      </c>
      <c r="D265" s="36" t="s">
        <v>3666</v>
      </c>
      <c r="E265" s="19" t="s">
        <v>3855</v>
      </c>
      <c r="F265" s="36" t="s">
        <v>80</v>
      </c>
      <c r="G265" s="215" t="s">
        <v>3185</v>
      </c>
      <c r="H265" s="36" t="s">
        <v>587</v>
      </c>
      <c r="I265" s="6" t="s">
        <v>587</v>
      </c>
      <c r="J265" s="36" t="s">
        <v>587</v>
      </c>
      <c r="K265" s="185" t="n">
        <f aca="false">Workload!C7*0.5</f>
        <v>250</v>
      </c>
      <c r="L265" s="185" t="n">
        <f aca="false">Workload!C7*2</f>
        <v>1000</v>
      </c>
      <c r="M265" s="36" t="s">
        <v>3817</v>
      </c>
      <c r="N265" s="19" t="s">
        <v>3849</v>
      </c>
      <c r="O265" s="6" t="s">
        <v>587</v>
      </c>
      <c r="P265" s="215" t="s">
        <v>3244</v>
      </c>
      <c r="Q265" s="41" t="n">
        <f aca="false">Workload!C7</f>
        <v>500</v>
      </c>
      <c r="R265" s="36" t="s">
        <v>587</v>
      </c>
      <c r="S265" s="35" t="str">
        <f aca="false">IF(ISNUMBER($AF265),INDEX(IDX_SrcStat,$AF265),"—")</f>
        <v>—</v>
      </c>
      <c r="T265" s="35" t="str">
        <f aca="false">IF(ISNUMBER($AF265),INDEX(IDX_SrcGrade,$AF265),"—")</f>
        <v>—</v>
      </c>
      <c r="U265" s="35" t="s">
        <v>3189</v>
      </c>
      <c r="V265" s="186" t="n">
        <f aca="false">IF(AND($F265="原始數據",$U265&lt;&gt;"連結 SRC"),1,0)</f>
        <v>0</v>
      </c>
      <c r="W265" s="186" t="n">
        <f aca="false">IF(AND($F265="Analogy",OR($H265="—",$H265="")),1,0)</f>
        <v>0</v>
      </c>
      <c r="X265" s="186" t="n">
        <f aca="false">IF(AND(OR($F265="Analogy",$F265="Assumed"),$G265&lt;&gt;"低",$G265&lt;&gt;"高",NOT(ISNUMBER($K265)),NOT(ISNUMBER($L265)),OR($M265="—",$M265="")),1,0)</f>
        <v>0</v>
      </c>
      <c r="Y265" s="186" t="n">
        <f aca="false">IF(AND(OR($F265="Analogy",$F265="Assumed",$F265="Derived（待改公式）",$F265="Derived（公式）"),OR($N265="—",$N265="",$N265=0)),1,0)</f>
        <v>0</v>
      </c>
      <c r="Z265" s="186" t="n">
        <f aca="false">IF(AND($F265="Decision",OR($J265="—",$J265="")),1,0)</f>
        <v>0</v>
      </c>
      <c r="AA265" s="183" t="n">
        <f aca="false">IF(OR($J265="—",$J265=""),0,IF(COUNTIF(Decisions!$A$5:$A$300,$J265)=0,1,0))</f>
        <v>0</v>
      </c>
      <c r="AB265" s="186" t="n">
        <f aca="false">IF(AND($F265="原始數據",$S265&lt;&gt;"Active"),1,0)</f>
        <v>0</v>
      </c>
      <c r="AC265" s="186" t="n">
        <f aca="false">IF(AND(ISNUMBER($K265),ISNUMBER($L265),ISNUMBER($Q265)),IF(OR($Q265&lt;MIN($K265,$L265),$Q265&gt;MAX($K265,$L265)),1,0),0)</f>
        <v>0</v>
      </c>
      <c r="AD265" s="186" t="n">
        <f aca="false">IF(AND(ISNUMBER($T265),$P265="高"),IF($T265=3,1,0),0)</f>
        <v>0</v>
      </c>
      <c r="AE265" s="186" t="n">
        <f aca="false">IF($S265="不存在",1,0)</f>
        <v>0</v>
      </c>
      <c r="AF265" s="35" t="str">
        <f aca="false">IF(OR($H265="—",$H265=""),"—",MATCH($H265,IDX_SrcID,0))</f>
        <v>—</v>
      </c>
      <c r="AG265" s="104" t="n">
        <f aca="false">IF(AND($P265="高",OR($AD265=1,$X265=1)),1,0)</f>
        <v>0</v>
      </c>
      <c r="AH265" s="104" t="n">
        <f aca="false">IF(AND($P265="高",$AG265=0,OR($F265&lt;&gt;"原始數據",$T265&lt;&gt;1)),1,0)</f>
        <v>0</v>
      </c>
      <c r="AI265" s="53" t="str">
        <f aca="false">IF(AND($P265="高",ISNUMBER($AF265)),INDEX(IDX_SrcDate,$AF265),"—")</f>
        <v>—</v>
      </c>
      <c r="AJ265" s="104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6" t="s">
        <v>3856</v>
      </c>
      <c r="B266" s="215" t="s">
        <v>3183</v>
      </c>
      <c r="C266" s="36" t="s">
        <v>3834</v>
      </c>
      <c r="D266" s="36" t="s">
        <v>3669</v>
      </c>
      <c r="E266" s="19" t="s">
        <v>3855</v>
      </c>
      <c r="F266" s="36" t="s">
        <v>80</v>
      </c>
      <c r="G266" s="215" t="s">
        <v>3185</v>
      </c>
      <c r="H266" s="36" t="s">
        <v>587</v>
      </c>
      <c r="I266" s="6" t="s">
        <v>587</v>
      </c>
      <c r="J266" s="36" t="s">
        <v>587</v>
      </c>
      <c r="K266" s="185" t="n">
        <f aca="false">Workload!D7*0.5</f>
        <v>250</v>
      </c>
      <c r="L266" s="185" t="n">
        <f aca="false">Workload!D7*2</f>
        <v>1000</v>
      </c>
      <c r="M266" s="36" t="s">
        <v>3817</v>
      </c>
      <c r="N266" s="19" t="s">
        <v>3849</v>
      </c>
      <c r="O266" s="6" t="s">
        <v>587</v>
      </c>
      <c r="P266" s="215" t="s">
        <v>3244</v>
      </c>
      <c r="Q266" s="41" t="n">
        <f aca="false">Workload!D7</f>
        <v>500</v>
      </c>
      <c r="R266" s="36" t="s">
        <v>587</v>
      </c>
      <c r="S266" s="35" t="str">
        <f aca="false">IF(ISNUMBER($AF266),INDEX(IDX_SrcStat,$AF266),"—")</f>
        <v>—</v>
      </c>
      <c r="T266" s="35" t="str">
        <f aca="false">IF(ISNUMBER($AF266),INDEX(IDX_SrcGrade,$AF266),"—")</f>
        <v>—</v>
      </c>
      <c r="U266" s="35" t="s">
        <v>3189</v>
      </c>
      <c r="V266" s="186" t="n">
        <f aca="false">IF(AND($F266="原始數據",$U266&lt;&gt;"連結 SRC"),1,0)</f>
        <v>0</v>
      </c>
      <c r="W266" s="186" t="n">
        <f aca="false">IF(AND($F266="Analogy",OR($H266="—",$H266="")),1,0)</f>
        <v>0</v>
      </c>
      <c r="X266" s="186" t="n">
        <f aca="false">IF(AND(OR($F266="Analogy",$F266="Assumed"),$G266&lt;&gt;"低",$G266&lt;&gt;"高",NOT(ISNUMBER($K266)),NOT(ISNUMBER($L266)),OR($M266="—",$M266="")),1,0)</f>
        <v>0</v>
      </c>
      <c r="Y266" s="186" t="n">
        <f aca="false">IF(AND(OR($F266="Analogy",$F266="Assumed",$F266="Derived（待改公式）",$F266="Derived（公式）"),OR($N266="—",$N266="",$N266=0)),1,0)</f>
        <v>0</v>
      </c>
      <c r="Z266" s="186" t="n">
        <f aca="false">IF(AND($F266="Decision",OR($J266="—",$J266="")),1,0)</f>
        <v>0</v>
      </c>
      <c r="AA266" s="183" t="n">
        <f aca="false">IF(OR($J266="—",$J266=""),0,IF(COUNTIF(Decisions!$A$5:$A$300,$J266)=0,1,0))</f>
        <v>0</v>
      </c>
      <c r="AB266" s="186" t="n">
        <f aca="false">IF(AND($F266="原始數據",$S266&lt;&gt;"Active"),1,0)</f>
        <v>0</v>
      </c>
      <c r="AC266" s="186" t="n">
        <f aca="false">IF(AND(ISNUMBER($K266),ISNUMBER($L266),ISNUMBER($Q266)),IF(OR($Q266&lt;MIN($K266,$L266),$Q266&gt;MAX($K266,$L266)),1,0),0)</f>
        <v>0</v>
      </c>
      <c r="AD266" s="186" t="n">
        <f aca="false">IF(AND(ISNUMBER($T266),$P266="高"),IF($T266=3,1,0),0)</f>
        <v>0</v>
      </c>
      <c r="AE266" s="186" t="n">
        <f aca="false">IF($S266="不存在",1,0)</f>
        <v>0</v>
      </c>
      <c r="AF266" s="35" t="str">
        <f aca="false">IF(OR($H266="—",$H266=""),"—",MATCH($H266,IDX_SrcID,0))</f>
        <v>—</v>
      </c>
      <c r="AG266" s="104" t="n">
        <f aca="false">IF(AND($P266="高",OR($AD266=1,$X266=1)),1,0)</f>
        <v>0</v>
      </c>
      <c r="AH266" s="104" t="n">
        <f aca="false">IF(AND($P266="高",$AG266=0,OR($F266&lt;&gt;"原始數據",$T266&lt;&gt;1)),1,0)</f>
        <v>0</v>
      </c>
      <c r="AI266" s="53" t="str">
        <f aca="false">IF(AND($P266="高",ISNUMBER($AF266)),INDEX(IDX_SrcDate,$AF266),"—")</f>
        <v>—</v>
      </c>
      <c r="AJ266" s="104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6" t="s">
        <v>3857</v>
      </c>
      <c r="B267" s="215" t="s">
        <v>3183</v>
      </c>
      <c r="C267" s="36" t="s">
        <v>3834</v>
      </c>
      <c r="D267" s="36" t="s">
        <v>3060</v>
      </c>
      <c r="E267" s="19" t="s">
        <v>3855</v>
      </c>
      <c r="F267" s="36" t="s">
        <v>80</v>
      </c>
      <c r="G267" s="215" t="s">
        <v>3185</v>
      </c>
      <c r="H267" s="36" t="s">
        <v>587</v>
      </c>
      <c r="I267" s="6" t="s">
        <v>587</v>
      </c>
      <c r="J267" s="36" t="s">
        <v>587</v>
      </c>
      <c r="K267" s="185" t="n">
        <f aca="false">Workload!E7*0.5</f>
        <v>600</v>
      </c>
      <c r="L267" s="185" t="n">
        <f aca="false">Workload!E7*2</f>
        <v>2400</v>
      </c>
      <c r="M267" s="36" t="s">
        <v>3817</v>
      </c>
      <c r="N267" s="19" t="s">
        <v>3849</v>
      </c>
      <c r="O267" s="6" t="s">
        <v>587</v>
      </c>
      <c r="P267" s="215" t="s">
        <v>3244</v>
      </c>
      <c r="Q267" s="41" t="n">
        <f aca="false">Workload!E7</f>
        <v>1200</v>
      </c>
      <c r="R267" s="36" t="s">
        <v>587</v>
      </c>
      <c r="S267" s="35" t="str">
        <f aca="false">IF(ISNUMBER($AF267),INDEX(IDX_SrcStat,$AF267),"—")</f>
        <v>—</v>
      </c>
      <c r="T267" s="35" t="str">
        <f aca="false">IF(ISNUMBER($AF267),INDEX(IDX_SrcGrade,$AF267),"—")</f>
        <v>—</v>
      </c>
      <c r="U267" s="35" t="s">
        <v>3189</v>
      </c>
      <c r="V267" s="186" t="n">
        <f aca="false">IF(AND($F267="原始數據",$U267&lt;&gt;"連結 SRC"),1,0)</f>
        <v>0</v>
      </c>
      <c r="W267" s="186" t="n">
        <f aca="false">IF(AND($F267="Analogy",OR($H267="—",$H267="")),1,0)</f>
        <v>0</v>
      </c>
      <c r="X267" s="186" t="n">
        <f aca="false">IF(AND(OR($F267="Analogy",$F267="Assumed"),$G267&lt;&gt;"低",$G267&lt;&gt;"高",NOT(ISNUMBER($K267)),NOT(ISNUMBER($L267)),OR($M267="—",$M267="")),1,0)</f>
        <v>0</v>
      </c>
      <c r="Y267" s="186" t="n">
        <f aca="false">IF(AND(OR($F267="Analogy",$F267="Assumed",$F267="Derived（待改公式）",$F267="Derived（公式）"),OR($N267="—",$N267="",$N267=0)),1,0)</f>
        <v>0</v>
      </c>
      <c r="Z267" s="186" t="n">
        <f aca="false">IF(AND($F267="Decision",OR($J267="—",$J267="")),1,0)</f>
        <v>0</v>
      </c>
      <c r="AA267" s="183" t="n">
        <f aca="false">IF(OR($J267="—",$J267=""),0,IF(COUNTIF(Decisions!$A$5:$A$300,$J267)=0,1,0))</f>
        <v>0</v>
      </c>
      <c r="AB267" s="186" t="n">
        <f aca="false">IF(AND($F267="原始數據",$S267&lt;&gt;"Active"),1,0)</f>
        <v>0</v>
      </c>
      <c r="AC267" s="186" t="n">
        <f aca="false">IF(AND(ISNUMBER($K267),ISNUMBER($L267),ISNUMBER($Q267)),IF(OR($Q267&lt;MIN($K267,$L267),$Q267&gt;MAX($K267,$L267)),1,0),0)</f>
        <v>0</v>
      </c>
      <c r="AD267" s="186" t="n">
        <f aca="false">IF(AND(ISNUMBER($T267),$P267="高"),IF($T267=3,1,0),0)</f>
        <v>0</v>
      </c>
      <c r="AE267" s="186" t="n">
        <f aca="false">IF($S267="不存在",1,0)</f>
        <v>0</v>
      </c>
      <c r="AF267" s="35" t="str">
        <f aca="false">IF(OR($H267="—",$H267=""),"—",MATCH($H267,IDX_SrcID,0))</f>
        <v>—</v>
      </c>
      <c r="AG267" s="104" t="n">
        <f aca="false">IF(AND($P267="高",OR($AD267=1,$X267=1)),1,0)</f>
        <v>0</v>
      </c>
      <c r="AH267" s="104" t="n">
        <f aca="false">IF(AND($P267="高",$AG267=0,OR($F267&lt;&gt;"原始數據",$T267&lt;&gt;1)),1,0)</f>
        <v>0</v>
      </c>
      <c r="AI267" s="53" t="str">
        <f aca="false">IF(AND($P267="高",ISNUMBER($AF267)),INDEX(IDX_SrcDate,$AF267),"—")</f>
        <v>—</v>
      </c>
      <c r="AJ267" s="104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6" t="s">
        <v>3858</v>
      </c>
      <c r="B268" s="215" t="s">
        <v>3183</v>
      </c>
      <c r="C268" s="36" t="s">
        <v>3834</v>
      </c>
      <c r="D268" s="36" t="s">
        <v>3859</v>
      </c>
      <c r="E268" s="19" t="s">
        <v>3855</v>
      </c>
      <c r="F268" s="36" t="s">
        <v>80</v>
      </c>
      <c r="G268" s="215" t="s">
        <v>3185</v>
      </c>
      <c r="H268" s="36" t="s">
        <v>587</v>
      </c>
      <c r="I268" s="6" t="s">
        <v>587</v>
      </c>
      <c r="J268" s="36" t="s">
        <v>587</v>
      </c>
      <c r="K268" s="185" t="n">
        <f aca="false">Workload!F7*0.5</f>
        <v>600</v>
      </c>
      <c r="L268" s="185" t="n">
        <f aca="false">Workload!F7*2</f>
        <v>2400</v>
      </c>
      <c r="M268" s="36" t="s">
        <v>3817</v>
      </c>
      <c r="N268" s="19" t="s">
        <v>3849</v>
      </c>
      <c r="O268" s="6" t="s">
        <v>587</v>
      </c>
      <c r="P268" s="215" t="s">
        <v>3244</v>
      </c>
      <c r="Q268" s="41" t="n">
        <f aca="false">Workload!F7</f>
        <v>1200</v>
      </c>
      <c r="R268" s="36" t="s">
        <v>587</v>
      </c>
      <c r="S268" s="35" t="str">
        <f aca="false">IF(ISNUMBER($AF268),INDEX(IDX_SrcStat,$AF268),"—")</f>
        <v>—</v>
      </c>
      <c r="T268" s="35" t="str">
        <f aca="false">IF(ISNUMBER($AF268),INDEX(IDX_SrcGrade,$AF268),"—")</f>
        <v>—</v>
      </c>
      <c r="U268" s="35" t="s">
        <v>3189</v>
      </c>
      <c r="V268" s="186" t="n">
        <f aca="false">IF(AND($F268="原始數據",$U268&lt;&gt;"連結 SRC"),1,0)</f>
        <v>0</v>
      </c>
      <c r="W268" s="186" t="n">
        <f aca="false">IF(AND($F268="Analogy",OR($H268="—",$H268="")),1,0)</f>
        <v>0</v>
      </c>
      <c r="X268" s="186" t="n">
        <f aca="false">IF(AND(OR($F268="Analogy",$F268="Assumed"),$G268&lt;&gt;"低",$G268&lt;&gt;"高",NOT(ISNUMBER($K268)),NOT(ISNUMBER($L268)),OR($M268="—",$M268="")),1,0)</f>
        <v>0</v>
      </c>
      <c r="Y268" s="186" t="n">
        <f aca="false">IF(AND(OR($F268="Analogy",$F268="Assumed",$F268="Derived（待改公式）",$F268="Derived（公式）"),OR($N268="—",$N268="",$N268=0)),1,0)</f>
        <v>0</v>
      </c>
      <c r="Z268" s="186" t="n">
        <f aca="false">IF(AND($F268="Decision",OR($J268="—",$J268="")),1,0)</f>
        <v>0</v>
      </c>
      <c r="AA268" s="183" t="n">
        <f aca="false">IF(OR($J268="—",$J268=""),0,IF(COUNTIF(Decisions!$A$5:$A$300,$J268)=0,1,0))</f>
        <v>0</v>
      </c>
      <c r="AB268" s="186" t="n">
        <f aca="false">IF(AND($F268="原始數據",$S268&lt;&gt;"Active"),1,0)</f>
        <v>0</v>
      </c>
      <c r="AC268" s="186" t="n">
        <f aca="false">IF(AND(ISNUMBER($K268),ISNUMBER($L268),ISNUMBER($Q268)),IF(OR($Q268&lt;MIN($K268,$L268),$Q268&gt;MAX($K268,$L268)),1,0),0)</f>
        <v>0</v>
      </c>
      <c r="AD268" s="186" t="n">
        <f aca="false">IF(AND(ISNUMBER($T268),$P268="高"),IF($T268=3,1,0),0)</f>
        <v>0</v>
      </c>
      <c r="AE268" s="186" t="n">
        <f aca="false">IF($S268="不存在",1,0)</f>
        <v>0</v>
      </c>
      <c r="AF268" s="35" t="str">
        <f aca="false">IF(OR($H268="—",$H268=""),"—",MATCH($H268,IDX_SrcID,0))</f>
        <v>—</v>
      </c>
      <c r="AG268" s="104" t="n">
        <f aca="false">IF(AND($P268="高",OR($AD268=1,$X268=1)),1,0)</f>
        <v>0</v>
      </c>
      <c r="AH268" s="104" t="n">
        <f aca="false">IF(AND($P268="高",$AG268=0,OR($F268&lt;&gt;"原始數據",$T268&lt;&gt;1)),1,0)</f>
        <v>0</v>
      </c>
      <c r="AI268" s="53" t="str">
        <f aca="false">IF(AND($P268="高",ISNUMBER($AF268)),INDEX(IDX_SrcDate,$AF268),"—")</f>
        <v>—</v>
      </c>
      <c r="AJ268" s="104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6" t="s">
        <v>3860</v>
      </c>
      <c r="B269" s="215" t="s">
        <v>3183</v>
      </c>
      <c r="C269" s="36" t="s">
        <v>3834</v>
      </c>
      <c r="D269" s="36" t="s">
        <v>3861</v>
      </c>
      <c r="E269" s="19" t="s">
        <v>3855</v>
      </c>
      <c r="F269" s="36" t="s">
        <v>80</v>
      </c>
      <c r="G269" s="215" t="s">
        <v>3185</v>
      </c>
      <c r="H269" s="36" t="s">
        <v>587</v>
      </c>
      <c r="I269" s="6" t="s">
        <v>587</v>
      </c>
      <c r="J269" s="36" t="s">
        <v>587</v>
      </c>
      <c r="K269" s="185" t="n">
        <f aca="false">Workload!G7*0.5</f>
        <v>1000</v>
      </c>
      <c r="L269" s="185" t="n">
        <f aca="false">Workload!G7*2</f>
        <v>4000</v>
      </c>
      <c r="M269" s="36" t="s">
        <v>3817</v>
      </c>
      <c r="N269" s="19" t="s">
        <v>3849</v>
      </c>
      <c r="O269" s="6" t="s">
        <v>587</v>
      </c>
      <c r="P269" s="215" t="s">
        <v>3244</v>
      </c>
      <c r="Q269" s="41" t="n">
        <f aca="false">Workload!G7</f>
        <v>2000</v>
      </c>
      <c r="R269" s="36" t="s">
        <v>587</v>
      </c>
      <c r="S269" s="35" t="str">
        <f aca="false">IF(ISNUMBER($AF269),INDEX(IDX_SrcStat,$AF269),"—")</f>
        <v>—</v>
      </c>
      <c r="T269" s="35" t="str">
        <f aca="false">IF(ISNUMBER($AF269),INDEX(IDX_SrcGrade,$AF269),"—")</f>
        <v>—</v>
      </c>
      <c r="U269" s="35" t="s">
        <v>3189</v>
      </c>
      <c r="V269" s="186" t="n">
        <f aca="false">IF(AND($F269="原始數據",$U269&lt;&gt;"連結 SRC"),1,0)</f>
        <v>0</v>
      </c>
      <c r="W269" s="186" t="n">
        <f aca="false">IF(AND($F269="Analogy",OR($H269="—",$H269="")),1,0)</f>
        <v>0</v>
      </c>
      <c r="X269" s="186" t="n">
        <f aca="false">IF(AND(OR($F269="Analogy",$F269="Assumed"),$G269&lt;&gt;"低",$G269&lt;&gt;"高",NOT(ISNUMBER($K269)),NOT(ISNUMBER($L269)),OR($M269="—",$M269="")),1,0)</f>
        <v>0</v>
      </c>
      <c r="Y269" s="186" t="n">
        <f aca="false">IF(AND(OR($F269="Analogy",$F269="Assumed",$F269="Derived（待改公式）",$F269="Derived（公式）"),OR($N269="—",$N269="",$N269=0)),1,0)</f>
        <v>0</v>
      </c>
      <c r="Z269" s="186" t="n">
        <f aca="false">IF(AND($F269="Decision",OR($J269="—",$J269="")),1,0)</f>
        <v>0</v>
      </c>
      <c r="AA269" s="183" t="n">
        <f aca="false">IF(OR($J269="—",$J269=""),0,IF(COUNTIF(Decisions!$A$5:$A$300,$J269)=0,1,0))</f>
        <v>0</v>
      </c>
      <c r="AB269" s="186" t="n">
        <f aca="false">IF(AND($F269="原始數據",$S269&lt;&gt;"Active"),1,0)</f>
        <v>0</v>
      </c>
      <c r="AC269" s="186" t="n">
        <f aca="false">IF(AND(ISNUMBER($K269),ISNUMBER($L269),ISNUMBER($Q269)),IF(OR($Q269&lt;MIN($K269,$L269),$Q269&gt;MAX($K269,$L269)),1,0),0)</f>
        <v>0</v>
      </c>
      <c r="AD269" s="186" t="n">
        <f aca="false">IF(AND(ISNUMBER($T269),$P269="高"),IF($T269=3,1,0),0)</f>
        <v>0</v>
      </c>
      <c r="AE269" s="186" t="n">
        <f aca="false">IF($S269="不存在",1,0)</f>
        <v>0</v>
      </c>
      <c r="AF269" s="35" t="str">
        <f aca="false">IF(OR($H269="—",$H269=""),"—",MATCH($H269,IDX_SrcID,0))</f>
        <v>—</v>
      </c>
      <c r="AG269" s="104" t="n">
        <f aca="false">IF(AND($P269="高",OR($AD269=1,$X269=1)),1,0)</f>
        <v>0</v>
      </c>
      <c r="AH269" s="104" t="n">
        <f aca="false">IF(AND($P269="高",$AG269=0,OR($F269&lt;&gt;"原始數據",$T269&lt;&gt;1)),1,0)</f>
        <v>0</v>
      </c>
      <c r="AI269" s="53" t="str">
        <f aca="false">IF(AND($P269="高",ISNUMBER($AF269)),INDEX(IDX_SrcDate,$AF269),"—")</f>
        <v>—</v>
      </c>
      <c r="AJ269" s="104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6" t="s">
        <v>3862</v>
      </c>
      <c r="B270" s="215" t="s">
        <v>3183</v>
      </c>
      <c r="C270" s="36" t="s">
        <v>3834</v>
      </c>
      <c r="D270" s="36" t="s">
        <v>3355</v>
      </c>
      <c r="E270" s="19" t="s">
        <v>3863</v>
      </c>
      <c r="F270" s="36" t="s">
        <v>80</v>
      </c>
      <c r="G270" s="215" t="s">
        <v>3185</v>
      </c>
      <c r="H270" s="36" t="s">
        <v>587</v>
      </c>
      <c r="I270" s="6" t="s">
        <v>587</v>
      </c>
      <c r="J270" s="36" t="s">
        <v>587</v>
      </c>
      <c r="K270" s="185" t="n">
        <f aca="false">Workload!C8*0.5</f>
        <v>0</v>
      </c>
      <c r="L270" s="185" t="n">
        <f aca="false">Workload!C8*2</f>
        <v>0</v>
      </c>
      <c r="M270" s="36" t="s">
        <v>3817</v>
      </c>
      <c r="N270" s="216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587</v>
      </c>
      <c r="P270" s="215" t="s">
        <v>3244</v>
      </c>
      <c r="Q270" s="41" t="n">
        <f aca="false">Workload!C8</f>
        <v>0</v>
      </c>
      <c r="R270" s="36" t="s">
        <v>587</v>
      </c>
      <c r="S270" s="35" t="str">
        <f aca="false">IF(ISNUMBER($AF270),INDEX(IDX_SrcStat,$AF270),"—")</f>
        <v>—</v>
      </c>
      <c r="T270" s="35" t="str">
        <f aca="false">IF(ISNUMBER($AF270),INDEX(IDX_SrcGrade,$AF270),"—")</f>
        <v>—</v>
      </c>
      <c r="U270" s="35" t="s">
        <v>3189</v>
      </c>
      <c r="V270" s="186" t="n">
        <f aca="false">IF(AND($F270="原始數據",$U270&lt;&gt;"連結 SRC"),1,0)</f>
        <v>0</v>
      </c>
      <c r="W270" s="186" t="n">
        <f aca="false">IF(AND($F270="Analogy",OR($H270="—",$H270="")),1,0)</f>
        <v>0</v>
      </c>
      <c r="X270" s="186" t="n">
        <f aca="false">IF(AND(OR($F270="Analogy",$F270="Assumed"),$G270&lt;&gt;"低",$G270&lt;&gt;"高",NOT(ISNUMBER($K270)),NOT(ISNUMBER($L270)),OR($M270="—",$M270="")),1,0)</f>
        <v>0</v>
      </c>
      <c r="Y270" s="186" t="n">
        <f aca="false">IF(AND(OR($F270="Analogy",$F270="Assumed",$F270="Derived（待改公式）",$F270="Derived（公式）"),OR($N270="—",$N270="",$N270=0)),1,0)</f>
        <v>0</v>
      </c>
      <c r="Z270" s="186" t="n">
        <f aca="false">IF(AND($F270="Decision",OR($J270="—",$J270="")),1,0)</f>
        <v>0</v>
      </c>
      <c r="AA270" s="183" t="n">
        <f aca="false">IF(OR($J270="—",$J270=""),0,IF(COUNTIF(Decisions!$A$5:$A$300,$J270)=0,1,0))</f>
        <v>0</v>
      </c>
      <c r="AB270" s="186" t="n">
        <f aca="false">IF(AND($F270="原始數據",$S270&lt;&gt;"Active"),1,0)</f>
        <v>0</v>
      </c>
      <c r="AC270" s="186" t="n">
        <f aca="false">IF(AND(ISNUMBER($K270),ISNUMBER($L270),ISNUMBER($Q270)),IF(OR($Q270&lt;MIN($K270,$L270),$Q270&gt;MAX($K270,$L270)),1,0),0)</f>
        <v>0</v>
      </c>
      <c r="AD270" s="186" t="n">
        <f aca="false">IF(AND(ISNUMBER($T270),$P270="高"),IF($T270=3,1,0),0)</f>
        <v>0</v>
      </c>
      <c r="AE270" s="186" t="n">
        <f aca="false">IF($S270="不存在",1,0)</f>
        <v>0</v>
      </c>
      <c r="AF270" s="35" t="str">
        <f aca="false">IF(OR($H270="—",$H270=""),"—",MATCH($H270,IDX_SrcID,0))</f>
        <v>—</v>
      </c>
      <c r="AG270" s="104" t="n">
        <f aca="false">IF(AND($P270="高",OR($AD270=1,$X270=1)),1,0)</f>
        <v>0</v>
      </c>
      <c r="AH270" s="104" t="n">
        <f aca="false">IF(AND($P270="高",$AG270=0,OR($F270&lt;&gt;"原始數據",$T270&lt;&gt;1)),1,0)</f>
        <v>0</v>
      </c>
      <c r="AI270" s="53" t="str">
        <f aca="false">IF(AND($P270="高",ISNUMBER($AF270)),INDEX(IDX_SrcDate,$AF270),"—")</f>
        <v>—</v>
      </c>
      <c r="AJ270" s="104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6" t="s">
        <v>3864</v>
      </c>
      <c r="B271" s="215" t="s">
        <v>3183</v>
      </c>
      <c r="C271" s="36" t="s">
        <v>3834</v>
      </c>
      <c r="D271" s="36" t="s">
        <v>3358</v>
      </c>
      <c r="E271" s="19" t="s">
        <v>3863</v>
      </c>
      <c r="F271" s="36" t="s">
        <v>80</v>
      </c>
      <c r="G271" s="215" t="s">
        <v>3185</v>
      </c>
      <c r="H271" s="36" t="s">
        <v>587</v>
      </c>
      <c r="I271" s="6" t="s">
        <v>587</v>
      </c>
      <c r="J271" s="36" t="s">
        <v>587</v>
      </c>
      <c r="K271" s="185" t="n">
        <f aca="false">Workload!D8*0.5</f>
        <v>1500</v>
      </c>
      <c r="L271" s="185" t="n">
        <f aca="false">Workload!D8*2</f>
        <v>6000</v>
      </c>
      <c r="M271" s="36" t="s">
        <v>3817</v>
      </c>
      <c r="N271" s="216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587</v>
      </c>
      <c r="P271" s="215" t="s">
        <v>3244</v>
      </c>
      <c r="Q271" s="41" t="n">
        <f aca="false">Workload!D8</f>
        <v>3000</v>
      </c>
      <c r="R271" s="36" t="s">
        <v>587</v>
      </c>
      <c r="S271" s="35" t="str">
        <f aca="false">IF(ISNUMBER($AF271),INDEX(IDX_SrcStat,$AF271),"—")</f>
        <v>—</v>
      </c>
      <c r="T271" s="35" t="str">
        <f aca="false">IF(ISNUMBER($AF271),INDEX(IDX_SrcGrade,$AF271),"—")</f>
        <v>—</v>
      </c>
      <c r="U271" s="35" t="s">
        <v>3189</v>
      </c>
      <c r="V271" s="186" t="n">
        <f aca="false">IF(AND($F271="原始數據",$U271&lt;&gt;"連結 SRC"),1,0)</f>
        <v>0</v>
      </c>
      <c r="W271" s="186" t="n">
        <f aca="false">IF(AND($F271="Analogy",OR($H271="—",$H271="")),1,0)</f>
        <v>0</v>
      </c>
      <c r="X271" s="186" t="n">
        <f aca="false">IF(AND(OR($F271="Analogy",$F271="Assumed"),$G271&lt;&gt;"低",$G271&lt;&gt;"高",NOT(ISNUMBER($K271)),NOT(ISNUMBER($L271)),OR($M271="—",$M271="")),1,0)</f>
        <v>0</v>
      </c>
      <c r="Y271" s="186" t="n">
        <f aca="false">IF(AND(OR($F271="Analogy",$F271="Assumed",$F271="Derived（待改公式）",$F271="Derived（公式）"),OR($N271="—",$N271="",$N271=0)),1,0)</f>
        <v>0</v>
      </c>
      <c r="Z271" s="186" t="n">
        <f aca="false">IF(AND($F271="Decision",OR($J271="—",$J271="")),1,0)</f>
        <v>0</v>
      </c>
      <c r="AA271" s="183" t="n">
        <f aca="false">IF(OR($J271="—",$J271=""),0,IF(COUNTIF(Decisions!$A$5:$A$300,$J271)=0,1,0))</f>
        <v>0</v>
      </c>
      <c r="AB271" s="186" t="n">
        <f aca="false">IF(AND($F271="原始數據",$S271&lt;&gt;"Active"),1,0)</f>
        <v>0</v>
      </c>
      <c r="AC271" s="186" t="n">
        <f aca="false">IF(AND(ISNUMBER($K271),ISNUMBER($L271),ISNUMBER($Q271)),IF(OR($Q271&lt;MIN($K271,$L271),$Q271&gt;MAX($K271,$L271)),1,0),0)</f>
        <v>0</v>
      </c>
      <c r="AD271" s="186" t="n">
        <f aca="false">IF(AND(ISNUMBER($T271),$P271="高"),IF($T271=3,1,0),0)</f>
        <v>0</v>
      </c>
      <c r="AE271" s="186" t="n">
        <f aca="false">IF($S271="不存在",1,0)</f>
        <v>0</v>
      </c>
      <c r="AF271" s="35" t="str">
        <f aca="false">IF(OR($H271="—",$H271=""),"—",MATCH($H271,IDX_SrcID,0))</f>
        <v>—</v>
      </c>
      <c r="AG271" s="104" t="n">
        <f aca="false">IF(AND($P271="高",OR($AD271=1,$X271=1)),1,0)</f>
        <v>0</v>
      </c>
      <c r="AH271" s="104" t="n">
        <f aca="false">IF(AND($P271="高",$AG271=0,OR($F271&lt;&gt;"原始數據",$T271&lt;&gt;1)),1,0)</f>
        <v>0</v>
      </c>
      <c r="AI271" s="53" t="str">
        <f aca="false">IF(AND($P271="高",ISNUMBER($AF271)),INDEX(IDX_SrcDate,$AF271),"—")</f>
        <v>—</v>
      </c>
      <c r="AJ271" s="104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6" t="s">
        <v>3865</v>
      </c>
      <c r="B272" s="215" t="s">
        <v>3183</v>
      </c>
      <c r="C272" s="36" t="s">
        <v>3834</v>
      </c>
      <c r="D272" s="36" t="s">
        <v>3063</v>
      </c>
      <c r="E272" s="19" t="s">
        <v>3863</v>
      </c>
      <c r="F272" s="36" t="s">
        <v>80</v>
      </c>
      <c r="G272" s="215" t="s">
        <v>3185</v>
      </c>
      <c r="H272" s="36" t="s">
        <v>587</v>
      </c>
      <c r="I272" s="6" t="s">
        <v>587</v>
      </c>
      <c r="J272" s="36" t="s">
        <v>587</v>
      </c>
      <c r="K272" s="185" t="n">
        <f aca="false">Workload!E8*0.5</f>
        <v>200</v>
      </c>
      <c r="L272" s="185" t="n">
        <f aca="false">Workload!E8*2</f>
        <v>800</v>
      </c>
      <c r="M272" s="36" t="s">
        <v>3817</v>
      </c>
      <c r="N272" s="216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587</v>
      </c>
      <c r="P272" s="215" t="s">
        <v>3244</v>
      </c>
      <c r="Q272" s="41" t="n">
        <f aca="false">Workload!E8</f>
        <v>400</v>
      </c>
      <c r="R272" s="36" t="s">
        <v>587</v>
      </c>
      <c r="S272" s="35" t="str">
        <f aca="false">IF(ISNUMBER($AF272),INDEX(IDX_SrcStat,$AF272),"—")</f>
        <v>—</v>
      </c>
      <c r="T272" s="35" t="str">
        <f aca="false">IF(ISNUMBER($AF272),INDEX(IDX_SrcGrade,$AF272),"—")</f>
        <v>—</v>
      </c>
      <c r="U272" s="35" t="s">
        <v>3189</v>
      </c>
      <c r="V272" s="186" t="n">
        <f aca="false">IF(AND($F272="原始數據",$U272&lt;&gt;"連結 SRC"),1,0)</f>
        <v>0</v>
      </c>
      <c r="W272" s="186" t="n">
        <f aca="false">IF(AND($F272="Analogy",OR($H272="—",$H272="")),1,0)</f>
        <v>0</v>
      </c>
      <c r="X272" s="186" t="n">
        <f aca="false">IF(AND(OR($F272="Analogy",$F272="Assumed"),$G272&lt;&gt;"低",$G272&lt;&gt;"高",NOT(ISNUMBER($K272)),NOT(ISNUMBER($L272)),OR($M272="—",$M272="")),1,0)</f>
        <v>0</v>
      </c>
      <c r="Y272" s="186" t="n">
        <f aca="false">IF(AND(OR($F272="Analogy",$F272="Assumed",$F272="Derived（待改公式）",$F272="Derived（公式）"),OR($N272="—",$N272="",$N272=0)),1,0)</f>
        <v>0</v>
      </c>
      <c r="Z272" s="186" t="n">
        <f aca="false">IF(AND($F272="Decision",OR($J272="—",$J272="")),1,0)</f>
        <v>0</v>
      </c>
      <c r="AA272" s="183" t="n">
        <f aca="false">IF(OR($J272="—",$J272=""),0,IF(COUNTIF(Decisions!$A$5:$A$300,$J272)=0,1,0))</f>
        <v>0</v>
      </c>
      <c r="AB272" s="186" t="n">
        <f aca="false">IF(AND($F272="原始數據",$S272&lt;&gt;"Active"),1,0)</f>
        <v>0</v>
      </c>
      <c r="AC272" s="186" t="n">
        <f aca="false">IF(AND(ISNUMBER($K272),ISNUMBER($L272),ISNUMBER($Q272)),IF(OR($Q272&lt;MIN($K272,$L272),$Q272&gt;MAX($K272,$L272)),1,0),0)</f>
        <v>0</v>
      </c>
      <c r="AD272" s="186" t="n">
        <f aca="false">IF(AND(ISNUMBER($T272),$P272="高"),IF($T272=3,1,0),0)</f>
        <v>0</v>
      </c>
      <c r="AE272" s="186" t="n">
        <f aca="false">IF($S272="不存在",1,0)</f>
        <v>0</v>
      </c>
      <c r="AF272" s="35" t="str">
        <f aca="false">IF(OR($H272="—",$H272=""),"—",MATCH($H272,IDX_SrcID,0))</f>
        <v>—</v>
      </c>
      <c r="AG272" s="104" t="n">
        <f aca="false">IF(AND($P272="高",OR($AD272=1,$X272=1)),1,0)</f>
        <v>0</v>
      </c>
      <c r="AH272" s="104" t="n">
        <f aca="false">IF(AND($P272="高",$AG272=0,OR($F272&lt;&gt;"原始數據",$T272&lt;&gt;1)),1,0)</f>
        <v>0</v>
      </c>
      <c r="AI272" s="53" t="str">
        <f aca="false">IF(AND($P272="高",ISNUMBER($AF272)),INDEX(IDX_SrcDate,$AF272),"—")</f>
        <v>—</v>
      </c>
      <c r="AJ272" s="104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6" t="s">
        <v>3866</v>
      </c>
      <c r="B273" s="215" t="s">
        <v>3183</v>
      </c>
      <c r="C273" s="36" t="s">
        <v>3834</v>
      </c>
      <c r="D273" s="36" t="s">
        <v>3363</v>
      </c>
      <c r="E273" s="19" t="s">
        <v>3863</v>
      </c>
      <c r="F273" s="36" t="s">
        <v>80</v>
      </c>
      <c r="G273" s="215" t="s">
        <v>3185</v>
      </c>
      <c r="H273" s="36" t="s">
        <v>587</v>
      </c>
      <c r="I273" s="6" t="s">
        <v>587</v>
      </c>
      <c r="J273" s="36" t="s">
        <v>587</v>
      </c>
      <c r="K273" s="185" t="n">
        <f aca="false">Workload!F8*0.5</f>
        <v>200</v>
      </c>
      <c r="L273" s="185" t="n">
        <f aca="false">Workload!F8*2</f>
        <v>800</v>
      </c>
      <c r="M273" s="36" t="s">
        <v>3817</v>
      </c>
      <c r="N273" s="216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587</v>
      </c>
      <c r="P273" s="215" t="s">
        <v>3244</v>
      </c>
      <c r="Q273" s="41" t="n">
        <f aca="false">Workload!F8</f>
        <v>400</v>
      </c>
      <c r="R273" s="36" t="s">
        <v>587</v>
      </c>
      <c r="S273" s="35" t="str">
        <f aca="false">IF(ISNUMBER($AF273),INDEX(IDX_SrcStat,$AF273),"—")</f>
        <v>—</v>
      </c>
      <c r="T273" s="35" t="str">
        <f aca="false">IF(ISNUMBER($AF273),INDEX(IDX_SrcGrade,$AF273),"—")</f>
        <v>—</v>
      </c>
      <c r="U273" s="35" t="s">
        <v>3189</v>
      </c>
      <c r="V273" s="186" t="n">
        <f aca="false">IF(AND($F273="原始數據",$U273&lt;&gt;"連結 SRC"),1,0)</f>
        <v>0</v>
      </c>
      <c r="W273" s="186" t="n">
        <f aca="false">IF(AND($F273="Analogy",OR($H273="—",$H273="")),1,0)</f>
        <v>0</v>
      </c>
      <c r="X273" s="186" t="n">
        <f aca="false">IF(AND(OR($F273="Analogy",$F273="Assumed"),$G273&lt;&gt;"低",$G273&lt;&gt;"高",NOT(ISNUMBER($K273)),NOT(ISNUMBER($L273)),OR($M273="—",$M273="")),1,0)</f>
        <v>0</v>
      </c>
      <c r="Y273" s="186" t="n">
        <f aca="false">IF(AND(OR($F273="Analogy",$F273="Assumed",$F273="Derived（待改公式）",$F273="Derived（公式）"),OR($N273="—",$N273="",$N273=0)),1,0)</f>
        <v>0</v>
      </c>
      <c r="Z273" s="186" t="n">
        <f aca="false">IF(AND($F273="Decision",OR($J273="—",$J273="")),1,0)</f>
        <v>0</v>
      </c>
      <c r="AA273" s="183" t="n">
        <f aca="false">IF(OR($J273="—",$J273=""),0,IF(COUNTIF(Decisions!$A$5:$A$300,$J273)=0,1,0))</f>
        <v>0</v>
      </c>
      <c r="AB273" s="186" t="n">
        <f aca="false">IF(AND($F273="原始數據",$S273&lt;&gt;"Active"),1,0)</f>
        <v>0</v>
      </c>
      <c r="AC273" s="186" t="n">
        <f aca="false">IF(AND(ISNUMBER($K273),ISNUMBER($L273),ISNUMBER($Q273)),IF(OR($Q273&lt;MIN($K273,$L273),$Q273&gt;MAX($K273,$L273)),1,0),0)</f>
        <v>0</v>
      </c>
      <c r="AD273" s="186" t="n">
        <f aca="false">IF(AND(ISNUMBER($T273),$P273="高"),IF($T273=3,1,0),0)</f>
        <v>0</v>
      </c>
      <c r="AE273" s="186" t="n">
        <f aca="false">IF($S273="不存在",1,0)</f>
        <v>0</v>
      </c>
      <c r="AF273" s="35" t="str">
        <f aca="false">IF(OR($H273="—",$H273=""),"—",MATCH($H273,IDX_SrcID,0))</f>
        <v>—</v>
      </c>
      <c r="AG273" s="104" t="n">
        <f aca="false">IF(AND($P273="高",OR($AD273=1,$X273=1)),1,0)</f>
        <v>0</v>
      </c>
      <c r="AH273" s="104" t="n">
        <f aca="false">IF(AND($P273="高",$AG273=0,OR($F273&lt;&gt;"原始數據",$T273&lt;&gt;1)),1,0)</f>
        <v>0</v>
      </c>
      <c r="AI273" s="53" t="str">
        <f aca="false">IF(AND($P273="高",ISNUMBER($AF273)),INDEX(IDX_SrcDate,$AF273),"—")</f>
        <v>—</v>
      </c>
      <c r="AJ273" s="104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6" t="s">
        <v>3867</v>
      </c>
      <c r="B274" s="215" t="s">
        <v>3183</v>
      </c>
      <c r="C274" s="36" t="s">
        <v>3834</v>
      </c>
      <c r="D274" s="36" t="s">
        <v>3366</v>
      </c>
      <c r="E274" s="19" t="s">
        <v>3863</v>
      </c>
      <c r="F274" s="36" t="s">
        <v>80</v>
      </c>
      <c r="G274" s="215" t="s">
        <v>3185</v>
      </c>
      <c r="H274" s="36" t="s">
        <v>587</v>
      </c>
      <c r="I274" s="6" t="s">
        <v>587</v>
      </c>
      <c r="J274" s="36" t="s">
        <v>587</v>
      </c>
      <c r="K274" s="185" t="n">
        <f aca="false">Workload!G8*0.5</f>
        <v>300</v>
      </c>
      <c r="L274" s="185" t="n">
        <f aca="false">Workload!G8*2</f>
        <v>1200</v>
      </c>
      <c r="M274" s="36" t="s">
        <v>3817</v>
      </c>
      <c r="N274" s="216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587</v>
      </c>
      <c r="P274" s="215" t="s">
        <v>1116</v>
      </c>
      <c r="Q274" s="41" t="n">
        <f aca="false">Workload!G8</f>
        <v>600</v>
      </c>
      <c r="R274" s="36" t="s">
        <v>587</v>
      </c>
      <c r="S274" s="35" t="str">
        <f aca="false">IF(ISNUMBER($AF274),INDEX(IDX_SrcStat,$AF274),"—")</f>
        <v>—</v>
      </c>
      <c r="T274" s="35" t="str">
        <f aca="false">IF(ISNUMBER($AF274),INDEX(IDX_SrcGrade,$AF274),"—")</f>
        <v>—</v>
      </c>
      <c r="U274" s="35" t="s">
        <v>3189</v>
      </c>
      <c r="V274" s="186" t="n">
        <f aca="false">IF(AND($F274="原始數據",$U274&lt;&gt;"連結 SRC"),1,0)</f>
        <v>0</v>
      </c>
      <c r="W274" s="186" t="n">
        <f aca="false">IF(AND($F274="Analogy",OR($H274="—",$H274="")),1,0)</f>
        <v>0</v>
      </c>
      <c r="X274" s="186" t="n">
        <f aca="false">IF(AND(OR($F274="Analogy",$F274="Assumed"),$G274&lt;&gt;"低",$G274&lt;&gt;"高",NOT(ISNUMBER($K274)),NOT(ISNUMBER($L274)),OR($M274="—",$M274="")),1,0)</f>
        <v>0</v>
      </c>
      <c r="Y274" s="186" t="n">
        <f aca="false">IF(AND(OR($F274="Analogy",$F274="Assumed",$F274="Derived（待改公式）",$F274="Derived（公式）"),OR($N274="—",$N274="",$N274=0)),1,0)</f>
        <v>0</v>
      </c>
      <c r="Z274" s="186" t="n">
        <f aca="false">IF(AND($F274="Decision",OR($J274="—",$J274="")),1,0)</f>
        <v>0</v>
      </c>
      <c r="AA274" s="183" t="n">
        <f aca="false">IF(OR($J274="—",$J274=""),0,IF(COUNTIF(Decisions!$A$5:$A$300,$J274)=0,1,0))</f>
        <v>0</v>
      </c>
      <c r="AB274" s="186" t="n">
        <f aca="false">IF(AND($F274="原始數據",$S274&lt;&gt;"Active"),1,0)</f>
        <v>0</v>
      </c>
      <c r="AC274" s="186" t="n">
        <f aca="false">IF(AND(ISNUMBER($K274),ISNUMBER($L274),ISNUMBER($Q274)),IF(OR($Q274&lt;MIN($K274,$L274),$Q274&gt;MAX($K274,$L274)),1,0),0)</f>
        <v>0</v>
      </c>
      <c r="AD274" s="186" t="n">
        <f aca="false">IF(AND(ISNUMBER($T274),$P274="高"),IF($T274=3,1,0),0)</f>
        <v>0</v>
      </c>
      <c r="AE274" s="186" t="n">
        <f aca="false">IF($S274="不存在",1,0)</f>
        <v>0</v>
      </c>
      <c r="AF274" s="35" t="str">
        <f aca="false">IF(OR($H274="—",$H274=""),"—",MATCH($H274,IDX_SrcID,0))</f>
        <v>—</v>
      </c>
      <c r="AG274" s="104" t="n">
        <f aca="false">IF(AND($P274="高",OR($AD274=1,$X274=1)),1,0)</f>
        <v>0</v>
      </c>
      <c r="AH274" s="104" t="n">
        <f aca="false">IF(AND($P274="高",$AG274=0,OR($F274&lt;&gt;"原始數據",$T274&lt;&gt;1)),1,0)</f>
        <v>1</v>
      </c>
      <c r="AI274" s="53" t="str">
        <f aca="false">IF(AND($P274="高",ISNUMBER($AF274)),INDEX(IDX_SrcDate,$AF274),"—")</f>
        <v>—</v>
      </c>
      <c r="AJ274" s="104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6" t="s">
        <v>3868</v>
      </c>
      <c r="B275" s="215" t="s">
        <v>3183</v>
      </c>
      <c r="C275" s="36" t="s">
        <v>3834</v>
      </c>
      <c r="D275" s="36" t="s">
        <v>3369</v>
      </c>
      <c r="E275" s="19" t="s">
        <v>3869</v>
      </c>
      <c r="F275" s="36" t="s">
        <v>80</v>
      </c>
      <c r="G275" s="215" t="s">
        <v>3185</v>
      </c>
      <c r="H275" s="36" t="s">
        <v>587</v>
      </c>
      <c r="I275" s="6" t="s">
        <v>587</v>
      </c>
      <c r="J275" s="36" t="s">
        <v>587</v>
      </c>
      <c r="K275" s="185" t="n">
        <f aca="false">Workload!C9*0.5</f>
        <v>250</v>
      </c>
      <c r="L275" s="185" t="n">
        <f aca="false">Workload!C9*2</f>
        <v>1000</v>
      </c>
      <c r="M275" s="36" t="s">
        <v>3817</v>
      </c>
      <c r="N275" s="19" t="s">
        <v>3849</v>
      </c>
      <c r="O275" s="6" t="s">
        <v>587</v>
      </c>
      <c r="P275" s="215" t="s">
        <v>3244</v>
      </c>
      <c r="Q275" s="41" t="n">
        <f aca="false">Workload!C9</f>
        <v>500</v>
      </c>
      <c r="R275" s="36" t="s">
        <v>587</v>
      </c>
      <c r="S275" s="35" t="str">
        <f aca="false">IF(ISNUMBER($AF275),INDEX(IDX_SrcStat,$AF275),"—")</f>
        <v>—</v>
      </c>
      <c r="T275" s="35" t="str">
        <f aca="false">IF(ISNUMBER($AF275),INDEX(IDX_SrcGrade,$AF275),"—")</f>
        <v>—</v>
      </c>
      <c r="U275" s="35" t="s">
        <v>3189</v>
      </c>
      <c r="V275" s="186" t="n">
        <f aca="false">IF(AND($F275="原始數據",$U275&lt;&gt;"連結 SRC"),1,0)</f>
        <v>0</v>
      </c>
      <c r="W275" s="186" t="n">
        <f aca="false">IF(AND($F275="Analogy",OR($H275="—",$H275="")),1,0)</f>
        <v>0</v>
      </c>
      <c r="X275" s="186" t="n">
        <f aca="false">IF(AND(OR($F275="Analogy",$F275="Assumed"),$G275&lt;&gt;"低",$G275&lt;&gt;"高",NOT(ISNUMBER($K275)),NOT(ISNUMBER($L275)),OR($M275="—",$M275="")),1,0)</f>
        <v>0</v>
      </c>
      <c r="Y275" s="186" t="n">
        <f aca="false">IF(AND(OR($F275="Analogy",$F275="Assumed",$F275="Derived（待改公式）",$F275="Derived（公式）"),OR($N275="—",$N275="",$N275=0)),1,0)</f>
        <v>0</v>
      </c>
      <c r="Z275" s="186" t="n">
        <f aca="false">IF(AND($F275="Decision",OR($J275="—",$J275="")),1,0)</f>
        <v>0</v>
      </c>
      <c r="AA275" s="183" t="n">
        <f aca="false">IF(OR($J275="—",$J275=""),0,IF(COUNTIF(Decisions!$A$5:$A$300,$J275)=0,1,0))</f>
        <v>0</v>
      </c>
      <c r="AB275" s="186" t="n">
        <f aca="false">IF(AND($F275="原始數據",$S275&lt;&gt;"Active"),1,0)</f>
        <v>0</v>
      </c>
      <c r="AC275" s="186" t="n">
        <f aca="false">IF(AND(ISNUMBER($K275),ISNUMBER($L275),ISNUMBER($Q275)),IF(OR($Q275&lt;MIN($K275,$L275),$Q275&gt;MAX($K275,$L275)),1,0),0)</f>
        <v>0</v>
      </c>
      <c r="AD275" s="186" t="n">
        <f aca="false">IF(AND(ISNUMBER($T275),$P275="高"),IF($T275=3,1,0),0)</f>
        <v>0</v>
      </c>
      <c r="AE275" s="186" t="n">
        <f aca="false">IF($S275="不存在",1,0)</f>
        <v>0</v>
      </c>
      <c r="AF275" s="35" t="str">
        <f aca="false">IF(OR($H275="—",$H275=""),"—",MATCH($H275,IDX_SrcID,0))</f>
        <v>—</v>
      </c>
      <c r="AG275" s="104" t="n">
        <f aca="false">IF(AND($P275="高",OR($AD275=1,$X275=1)),1,0)</f>
        <v>0</v>
      </c>
      <c r="AH275" s="104" t="n">
        <f aca="false">IF(AND($P275="高",$AG275=0,OR($F275&lt;&gt;"原始數據",$T275&lt;&gt;1)),1,0)</f>
        <v>0</v>
      </c>
      <c r="AI275" s="53" t="str">
        <f aca="false">IF(AND($P275="高",ISNUMBER($AF275)),INDEX(IDX_SrcDate,$AF275),"—")</f>
        <v>—</v>
      </c>
      <c r="AJ275" s="104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6" t="s">
        <v>3870</v>
      </c>
      <c r="B276" s="215" t="s">
        <v>3183</v>
      </c>
      <c r="C276" s="36" t="s">
        <v>3834</v>
      </c>
      <c r="D276" s="36" t="s">
        <v>3198</v>
      </c>
      <c r="E276" s="19" t="s">
        <v>3869</v>
      </c>
      <c r="F276" s="36" t="s">
        <v>80</v>
      </c>
      <c r="G276" s="215" t="s">
        <v>3185</v>
      </c>
      <c r="H276" s="36" t="s">
        <v>587</v>
      </c>
      <c r="I276" s="6" t="s">
        <v>587</v>
      </c>
      <c r="J276" s="36" t="s">
        <v>587</v>
      </c>
      <c r="K276" s="185" t="n">
        <f aca="false">Workload!D9*0.5</f>
        <v>350</v>
      </c>
      <c r="L276" s="185" t="n">
        <f aca="false">Workload!D9*2</f>
        <v>1400</v>
      </c>
      <c r="M276" s="36" t="s">
        <v>3817</v>
      </c>
      <c r="N276" s="19" t="s">
        <v>3849</v>
      </c>
      <c r="O276" s="6" t="s">
        <v>587</v>
      </c>
      <c r="P276" s="215" t="s">
        <v>3244</v>
      </c>
      <c r="Q276" s="41" t="n">
        <f aca="false">Workload!D9</f>
        <v>700</v>
      </c>
      <c r="R276" s="36" t="s">
        <v>587</v>
      </c>
      <c r="S276" s="35" t="str">
        <f aca="false">IF(ISNUMBER($AF276),INDEX(IDX_SrcStat,$AF276),"—")</f>
        <v>—</v>
      </c>
      <c r="T276" s="35" t="str">
        <f aca="false">IF(ISNUMBER($AF276),INDEX(IDX_SrcGrade,$AF276),"—")</f>
        <v>—</v>
      </c>
      <c r="U276" s="35" t="s">
        <v>3189</v>
      </c>
      <c r="V276" s="186" t="n">
        <f aca="false">IF(AND($F276="原始數據",$U276&lt;&gt;"連結 SRC"),1,0)</f>
        <v>0</v>
      </c>
      <c r="W276" s="186" t="n">
        <f aca="false">IF(AND($F276="Analogy",OR($H276="—",$H276="")),1,0)</f>
        <v>0</v>
      </c>
      <c r="X276" s="186" t="n">
        <f aca="false">IF(AND(OR($F276="Analogy",$F276="Assumed"),$G276&lt;&gt;"低",$G276&lt;&gt;"高",NOT(ISNUMBER($K276)),NOT(ISNUMBER($L276)),OR($M276="—",$M276="")),1,0)</f>
        <v>0</v>
      </c>
      <c r="Y276" s="186" t="n">
        <f aca="false">IF(AND(OR($F276="Analogy",$F276="Assumed",$F276="Derived（待改公式）",$F276="Derived（公式）"),OR($N276="—",$N276="",$N276=0)),1,0)</f>
        <v>0</v>
      </c>
      <c r="Z276" s="186" t="n">
        <f aca="false">IF(AND($F276="Decision",OR($J276="—",$J276="")),1,0)</f>
        <v>0</v>
      </c>
      <c r="AA276" s="183" t="n">
        <f aca="false">IF(OR($J276="—",$J276=""),0,IF(COUNTIF(Decisions!$A$5:$A$300,$J276)=0,1,0))</f>
        <v>0</v>
      </c>
      <c r="AB276" s="186" t="n">
        <f aca="false">IF(AND($F276="原始數據",$S276&lt;&gt;"Active"),1,0)</f>
        <v>0</v>
      </c>
      <c r="AC276" s="186" t="n">
        <f aca="false">IF(AND(ISNUMBER($K276),ISNUMBER($L276),ISNUMBER($Q276)),IF(OR($Q276&lt;MIN($K276,$L276),$Q276&gt;MAX($K276,$L276)),1,0),0)</f>
        <v>0</v>
      </c>
      <c r="AD276" s="186" t="n">
        <f aca="false">IF(AND(ISNUMBER($T276),$P276="高"),IF($T276=3,1,0),0)</f>
        <v>0</v>
      </c>
      <c r="AE276" s="186" t="n">
        <f aca="false">IF($S276="不存在",1,0)</f>
        <v>0</v>
      </c>
      <c r="AF276" s="35" t="str">
        <f aca="false">IF(OR($H276="—",$H276=""),"—",MATCH($H276,IDX_SrcID,0))</f>
        <v>—</v>
      </c>
      <c r="AG276" s="104" t="n">
        <f aca="false">IF(AND($P276="高",OR($AD276=1,$X276=1)),1,0)</f>
        <v>0</v>
      </c>
      <c r="AH276" s="104" t="n">
        <f aca="false">IF(AND($P276="高",$AG276=0,OR($F276&lt;&gt;"原始數據",$T276&lt;&gt;1)),1,0)</f>
        <v>0</v>
      </c>
      <c r="AI276" s="53" t="str">
        <f aca="false">IF(AND($P276="高",ISNUMBER($AF276)),INDEX(IDX_SrcDate,$AF276),"—")</f>
        <v>—</v>
      </c>
      <c r="AJ276" s="104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6" t="s">
        <v>3871</v>
      </c>
      <c r="B277" s="215" t="s">
        <v>3183</v>
      </c>
      <c r="C277" s="36" t="s">
        <v>3834</v>
      </c>
      <c r="D277" s="36" t="s">
        <v>3066</v>
      </c>
      <c r="E277" s="19" t="s">
        <v>3869</v>
      </c>
      <c r="F277" s="36" t="s">
        <v>80</v>
      </c>
      <c r="G277" s="215" t="s">
        <v>3185</v>
      </c>
      <c r="H277" s="36" t="s">
        <v>587</v>
      </c>
      <c r="I277" s="6" t="s">
        <v>587</v>
      </c>
      <c r="J277" s="36" t="s">
        <v>587</v>
      </c>
      <c r="K277" s="185" t="n">
        <f aca="false">Workload!E9*0.5</f>
        <v>100</v>
      </c>
      <c r="L277" s="185" t="n">
        <f aca="false">Workload!E9*2</f>
        <v>400</v>
      </c>
      <c r="M277" s="36" t="s">
        <v>3817</v>
      </c>
      <c r="N277" s="19" t="s">
        <v>3849</v>
      </c>
      <c r="O277" s="6" t="s">
        <v>587</v>
      </c>
      <c r="P277" s="215" t="s">
        <v>3244</v>
      </c>
      <c r="Q277" s="41" t="n">
        <f aca="false">Workload!E9</f>
        <v>200</v>
      </c>
      <c r="R277" s="36" t="s">
        <v>587</v>
      </c>
      <c r="S277" s="35" t="str">
        <f aca="false">IF(ISNUMBER($AF277),INDEX(IDX_SrcStat,$AF277),"—")</f>
        <v>—</v>
      </c>
      <c r="T277" s="35" t="str">
        <f aca="false">IF(ISNUMBER($AF277),INDEX(IDX_SrcGrade,$AF277),"—")</f>
        <v>—</v>
      </c>
      <c r="U277" s="35" t="s">
        <v>3189</v>
      </c>
      <c r="V277" s="186" t="n">
        <f aca="false">IF(AND($F277="原始數據",$U277&lt;&gt;"連結 SRC"),1,0)</f>
        <v>0</v>
      </c>
      <c r="W277" s="186" t="n">
        <f aca="false">IF(AND($F277="Analogy",OR($H277="—",$H277="")),1,0)</f>
        <v>0</v>
      </c>
      <c r="X277" s="186" t="n">
        <f aca="false">IF(AND(OR($F277="Analogy",$F277="Assumed"),$G277&lt;&gt;"低",$G277&lt;&gt;"高",NOT(ISNUMBER($K277)),NOT(ISNUMBER($L277)),OR($M277="—",$M277="")),1,0)</f>
        <v>0</v>
      </c>
      <c r="Y277" s="186" t="n">
        <f aca="false">IF(AND(OR($F277="Analogy",$F277="Assumed",$F277="Derived（待改公式）",$F277="Derived（公式）"),OR($N277="—",$N277="",$N277=0)),1,0)</f>
        <v>0</v>
      </c>
      <c r="Z277" s="186" t="n">
        <f aca="false">IF(AND($F277="Decision",OR($J277="—",$J277="")),1,0)</f>
        <v>0</v>
      </c>
      <c r="AA277" s="183" t="n">
        <f aca="false">IF(OR($J277="—",$J277=""),0,IF(COUNTIF(Decisions!$A$5:$A$300,$J277)=0,1,0))</f>
        <v>0</v>
      </c>
      <c r="AB277" s="186" t="n">
        <f aca="false">IF(AND($F277="原始數據",$S277&lt;&gt;"Active"),1,0)</f>
        <v>0</v>
      </c>
      <c r="AC277" s="186" t="n">
        <f aca="false">IF(AND(ISNUMBER($K277),ISNUMBER($L277),ISNUMBER($Q277)),IF(OR($Q277&lt;MIN($K277,$L277),$Q277&gt;MAX($K277,$L277)),1,0),0)</f>
        <v>0</v>
      </c>
      <c r="AD277" s="186" t="n">
        <f aca="false">IF(AND(ISNUMBER($T277),$P277="高"),IF($T277=3,1,0),0)</f>
        <v>0</v>
      </c>
      <c r="AE277" s="186" t="n">
        <f aca="false">IF($S277="不存在",1,0)</f>
        <v>0</v>
      </c>
      <c r="AF277" s="35" t="str">
        <f aca="false">IF(OR($H277="—",$H277=""),"—",MATCH($H277,IDX_SrcID,0))</f>
        <v>—</v>
      </c>
      <c r="AG277" s="104" t="n">
        <f aca="false">IF(AND($P277="高",OR($AD277=1,$X277=1)),1,0)</f>
        <v>0</v>
      </c>
      <c r="AH277" s="104" t="n">
        <f aca="false">IF(AND($P277="高",$AG277=0,OR($F277&lt;&gt;"原始數據",$T277&lt;&gt;1)),1,0)</f>
        <v>0</v>
      </c>
      <c r="AI277" s="53" t="str">
        <f aca="false">IF(AND($P277="高",ISNUMBER($AF277)),INDEX(IDX_SrcDate,$AF277),"—")</f>
        <v>—</v>
      </c>
      <c r="AJ277" s="104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6" t="s">
        <v>3872</v>
      </c>
      <c r="B278" s="215" t="s">
        <v>3183</v>
      </c>
      <c r="C278" s="36" t="s">
        <v>3834</v>
      </c>
      <c r="D278" s="36" t="s">
        <v>3200</v>
      </c>
      <c r="E278" s="19" t="s">
        <v>3869</v>
      </c>
      <c r="F278" s="36" t="s">
        <v>80</v>
      </c>
      <c r="G278" s="215" t="s">
        <v>3185</v>
      </c>
      <c r="H278" s="36" t="s">
        <v>587</v>
      </c>
      <c r="I278" s="6" t="s">
        <v>587</v>
      </c>
      <c r="J278" s="36" t="s">
        <v>587</v>
      </c>
      <c r="K278" s="185" t="n">
        <f aca="false">Workload!F9*0.5</f>
        <v>100</v>
      </c>
      <c r="L278" s="185" t="n">
        <f aca="false">Workload!F9*2</f>
        <v>400</v>
      </c>
      <c r="M278" s="36" t="s">
        <v>3817</v>
      </c>
      <c r="N278" s="19" t="s">
        <v>3849</v>
      </c>
      <c r="O278" s="6" t="s">
        <v>587</v>
      </c>
      <c r="P278" s="215" t="s">
        <v>3244</v>
      </c>
      <c r="Q278" s="41" t="n">
        <f aca="false">Workload!F9</f>
        <v>200</v>
      </c>
      <c r="R278" s="36" t="s">
        <v>587</v>
      </c>
      <c r="S278" s="35" t="str">
        <f aca="false">IF(ISNUMBER($AF278),INDEX(IDX_SrcStat,$AF278),"—")</f>
        <v>—</v>
      </c>
      <c r="T278" s="35" t="str">
        <f aca="false">IF(ISNUMBER($AF278),INDEX(IDX_SrcGrade,$AF278),"—")</f>
        <v>—</v>
      </c>
      <c r="U278" s="35" t="s">
        <v>3189</v>
      </c>
      <c r="V278" s="186" t="n">
        <f aca="false">IF(AND($F278="原始數據",$U278&lt;&gt;"連結 SRC"),1,0)</f>
        <v>0</v>
      </c>
      <c r="W278" s="186" t="n">
        <f aca="false">IF(AND($F278="Analogy",OR($H278="—",$H278="")),1,0)</f>
        <v>0</v>
      </c>
      <c r="X278" s="186" t="n">
        <f aca="false">IF(AND(OR($F278="Analogy",$F278="Assumed"),$G278&lt;&gt;"低",$G278&lt;&gt;"高",NOT(ISNUMBER($K278)),NOT(ISNUMBER($L278)),OR($M278="—",$M278="")),1,0)</f>
        <v>0</v>
      </c>
      <c r="Y278" s="186" t="n">
        <f aca="false">IF(AND(OR($F278="Analogy",$F278="Assumed",$F278="Derived（待改公式）",$F278="Derived（公式）"),OR($N278="—",$N278="",$N278=0)),1,0)</f>
        <v>0</v>
      </c>
      <c r="Z278" s="186" t="n">
        <f aca="false">IF(AND($F278="Decision",OR($J278="—",$J278="")),1,0)</f>
        <v>0</v>
      </c>
      <c r="AA278" s="183" t="n">
        <f aca="false">IF(OR($J278="—",$J278=""),0,IF(COUNTIF(Decisions!$A$5:$A$300,$J278)=0,1,0))</f>
        <v>0</v>
      </c>
      <c r="AB278" s="186" t="n">
        <f aca="false">IF(AND($F278="原始數據",$S278&lt;&gt;"Active"),1,0)</f>
        <v>0</v>
      </c>
      <c r="AC278" s="186" t="n">
        <f aca="false">IF(AND(ISNUMBER($K278),ISNUMBER($L278),ISNUMBER($Q278)),IF(OR($Q278&lt;MIN($K278,$L278),$Q278&gt;MAX($K278,$L278)),1,0),0)</f>
        <v>0</v>
      </c>
      <c r="AD278" s="186" t="n">
        <f aca="false">IF(AND(ISNUMBER($T278),$P278="高"),IF($T278=3,1,0),0)</f>
        <v>0</v>
      </c>
      <c r="AE278" s="186" t="n">
        <f aca="false">IF($S278="不存在",1,0)</f>
        <v>0</v>
      </c>
      <c r="AF278" s="35" t="str">
        <f aca="false">IF(OR($H278="—",$H278=""),"—",MATCH($H278,IDX_SrcID,0))</f>
        <v>—</v>
      </c>
      <c r="AG278" s="104" t="n">
        <f aca="false">IF(AND($P278="高",OR($AD278=1,$X278=1)),1,0)</f>
        <v>0</v>
      </c>
      <c r="AH278" s="104" t="n">
        <f aca="false">IF(AND($P278="高",$AG278=0,OR($F278&lt;&gt;"原始數據",$T278&lt;&gt;1)),1,0)</f>
        <v>0</v>
      </c>
      <c r="AI278" s="53" t="str">
        <f aca="false">IF(AND($P278="高",ISNUMBER($AF278)),INDEX(IDX_SrcDate,$AF278),"—")</f>
        <v>—</v>
      </c>
      <c r="AJ278" s="104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6" t="s">
        <v>3873</v>
      </c>
      <c r="B279" s="215" t="s">
        <v>3183</v>
      </c>
      <c r="C279" s="36" t="s">
        <v>3834</v>
      </c>
      <c r="D279" s="36" t="s">
        <v>3384</v>
      </c>
      <c r="E279" s="19" t="s">
        <v>3869</v>
      </c>
      <c r="F279" s="36" t="s">
        <v>80</v>
      </c>
      <c r="G279" s="215" t="s">
        <v>3185</v>
      </c>
      <c r="H279" s="36" t="s">
        <v>587</v>
      </c>
      <c r="I279" s="6" t="s">
        <v>587</v>
      </c>
      <c r="J279" s="36" t="s">
        <v>587</v>
      </c>
      <c r="K279" s="185" t="n">
        <f aca="false">Workload!G9*0.5</f>
        <v>200</v>
      </c>
      <c r="L279" s="185" t="n">
        <f aca="false">Workload!G9*2</f>
        <v>800</v>
      </c>
      <c r="M279" s="36" t="s">
        <v>3817</v>
      </c>
      <c r="N279" s="19" t="s">
        <v>3874</v>
      </c>
      <c r="O279" s="6" t="s">
        <v>587</v>
      </c>
      <c r="P279" s="215" t="s">
        <v>1116</v>
      </c>
      <c r="Q279" s="41" t="n">
        <f aca="false">Workload!G9</f>
        <v>400</v>
      </c>
      <c r="R279" s="36" t="s">
        <v>587</v>
      </c>
      <c r="S279" s="35" t="str">
        <f aca="false">IF(ISNUMBER($AF279),INDEX(IDX_SrcStat,$AF279),"—")</f>
        <v>—</v>
      </c>
      <c r="T279" s="35" t="str">
        <f aca="false">IF(ISNUMBER($AF279),INDEX(IDX_SrcGrade,$AF279),"—")</f>
        <v>—</v>
      </c>
      <c r="U279" s="35" t="s">
        <v>3189</v>
      </c>
      <c r="V279" s="186" t="n">
        <f aca="false">IF(AND($F279="原始數據",$U279&lt;&gt;"連結 SRC"),1,0)</f>
        <v>0</v>
      </c>
      <c r="W279" s="186" t="n">
        <f aca="false">IF(AND($F279="Analogy",OR($H279="—",$H279="")),1,0)</f>
        <v>0</v>
      </c>
      <c r="X279" s="186" t="n">
        <f aca="false">IF(AND(OR($F279="Analogy",$F279="Assumed"),$G279&lt;&gt;"低",$G279&lt;&gt;"高",NOT(ISNUMBER($K279)),NOT(ISNUMBER($L279)),OR($M279="—",$M279="")),1,0)</f>
        <v>0</v>
      </c>
      <c r="Y279" s="186" t="n">
        <f aca="false">IF(AND(OR($F279="Analogy",$F279="Assumed",$F279="Derived（待改公式）",$F279="Derived（公式）"),OR($N279="—",$N279="",$N279=0)),1,0)</f>
        <v>0</v>
      </c>
      <c r="Z279" s="186" t="n">
        <f aca="false">IF(AND($F279="Decision",OR($J279="—",$J279="")),1,0)</f>
        <v>0</v>
      </c>
      <c r="AA279" s="183" t="n">
        <f aca="false">IF(OR($J279="—",$J279=""),0,IF(COUNTIF(Decisions!$A$5:$A$300,$J279)=0,1,0))</f>
        <v>0</v>
      </c>
      <c r="AB279" s="186" t="n">
        <f aca="false">IF(AND($F279="原始數據",$S279&lt;&gt;"Active"),1,0)</f>
        <v>0</v>
      </c>
      <c r="AC279" s="186" t="n">
        <f aca="false">IF(AND(ISNUMBER($K279),ISNUMBER($L279),ISNUMBER($Q279)),IF(OR($Q279&lt;MIN($K279,$L279),$Q279&gt;MAX($K279,$L279)),1,0),0)</f>
        <v>0</v>
      </c>
      <c r="AD279" s="186" t="n">
        <f aca="false">IF(AND(ISNUMBER($T279),$P279="高"),IF($T279=3,1,0),0)</f>
        <v>0</v>
      </c>
      <c r="AE279" s="186" t="n">
        <f aca="false">IF($S279="不存在",1,0)</f>
        <v>0</v>
      </c>
      <c r="AF279" s="35" t="str">
        <f aca="false">IF(OR($H279="—",$H279=""),"—",MATCH($H279,IDX_SrcID,0))</f>
        <v>—</v>
      </c>
      <c r="AG279" s="104" t="n">
        <f aca="false">IF(AND($P279="高",OR($AD279=1,$X279=1)),1,0)</f>
        <v>0</v>
      </c>
      <c r="AH279" s="104" t="n">
        <f aca="false">IF(AND($P279="高",$AG279=0,OR($F279&lt;&gt;"原始數據",$T279&lt;&gt;1)),1,0)</f>
        <v>1</v>
      </c>
      <c r="AI279" s="53" t="str">
        <f aca="false">IF(AND($P279="高",ISNUMBER($AF279)),INDEX(IDX_SrcDate,$AF279),"—")</f>
        <v>—</v>
      </c>
      <c r="AJ279" s="104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6" t="s">
        <v>3875</v>
      </c>
      <c r="B280" s="215" t="s">
        <v>3183</v>
      </c>
      <c r="C280" s="36" t="s">
        <v>3834</v>
      </c>
      <c r="D280" s="36" t="s">
        <v>3389</v>
      </c>
      <c r="E280" s="19" t="s">
        <v>3876</v>
      </c>
      <c r="F280" s="36" t="s">
        <v>80</v>
      </c>
      <c r="G280" s="215" t="s">
        <v>3185</v>
      </c>
      <c r="H280" s="36" t="s">
        <v>587</v>
      </c>
      <c r="I280" s="6" t="s">
        <v>587</v>
      </c>
      <c r="J280" s="36" t="s">
        <v>587</v>
      </c>
      <c r="K280" s="217" t="n">
        <v>0</v>
      </c>
      <c r="L280" s="217" t="n">
        <v>1</v>
      </c>
      <c r="M280" s="36" t="s">
        <v>3877</v>
      </c>
      <c r="N280" s="216" t="str">
        <f aca="false">Workload!$H$10</f>
        <v>Assumed：多數 API 不保留前輪思考（標準 harness）</v>
      </c>
      <c r="O280" s="6" t="s">
        <v>587</v>
      </c>
      <c r="P280" s="215" t="s">
        <v>3188</v>
      </c>
      <c r="Q280" s="177" t="n">
        <f aca="false">Workload!C10</f>
        <v>0</v>
      </c>
      <c r="R280" s="36" t="s">
        <v>587</v>
      </c>
      <c r="S280" s="35" t="str">
        <f aca="false">IF(ISNUMBER($AF280),INDEX(IDX_SrcStat,$AF280),"—")</f>
        <v>—</v>
      </c>
      <c r="T280" s="35" t="str">
        <f aca="false">IF(ISNUMBER($AF280),INDEX(IDX_SrcGrade,$AF280),"—")</f>
        <v>—</v>
      </c>
      <c r="U280" s="35" t="s">
        <v>3189</v>
      </c>
      <c r="V280" s="186" t="n">
        <f aca="false">IF(AND($F280="原始數據",$U280&lt;&gt;"連結 SRC"),1,0)</f>
        <v>0</v>
      </c>
      <c r="W280" s="186" t="n">
        <f aca="false">IF(AND($F280="Analogy",OR($H280="—",$H280="")),1,0)</f>
        <v>0</v>
      </c>
      <c r="X280" s="186" t="n">
        <f aca="false">IF(AND(OR($F280="Analogy",$F280="Assumed"),$G280&lt;&gt;"低",$G280&lt;&gt;"高",NOT(ISNUMBER($K280)),NOT(ISNUMBER($L280)),OR($M280="—",$M280="")),1,0)</f>
        <v>0</v>
      </c>
      <c r="Y280" s="186" t="n">
        <f aca="false">IF(AND(OR($F280="Analogy",$F280="Assumed",$F280="Derived（待改公式）",$F280="Derived（公式）"),OR($N280="—",$N280="",$N280=0)),1,0)</f>
        <v>0</v>
      </c>
      <c r="Z280" s="186" t="n">
        <f aca="false">IF(AND($F280="Decision",OR($J280="—",$J280="")),1,0)</f>
        <v>0</v>
      </c>
      <c r="AA280" s="183" t="n">
        <f aca="false">IF(OR($J280="—",$J280=""),0,IF(COUNTIF(Decisions!$A$5:$A$300,$J280)=0,1,0))</f>
        <v>0</v>
      </c>
      <c r="AB280" s="186" t="n">
        <f aca="false">IF(AND($F280="原始數據",$S280&lt;&gt;"Active"),1,0)</f>
        <v>0</v>
      </c>
      <c r="AC280" s="186" t="n">
        <f aca="false">IF(AND(ISNUMBER($K280),ISNUMBER($L280),ISNUMBER($Q280)),IF(OR($Q280&lt;MIN($K280,$L280),$Q280&gt;MAX($K280,$L280)),1,0),0)</f>
        <v>0</v>
      </c>
      <c r="AD280" s="186" t="n">
        <f aca="false">IF(AND(ISNUMBER($T280),$P280="高"),IF($T280=3,1,0),0)</f>
        <v>0</v>
      </c>
      <c r="AE280" s="186" t="n">
        <f aca="false">IF($S280="不存在",1,0)</f>
        <v>0</v>
      </c>
      <c r="AF280" s="35" t="str">
        <f aca="false">IF(OR($H280="—",$H280=""),"—",MATCH($H280,IDX_SrcID,0))</f>
        <v>—</v>
      </c>
      <c r="AG280" s="104" t="n">
        <f aca="false">IF(AND($P280="高",OR($AD280=1,$X280=1)),1,0)</f>
        <v>0</v>
      </c>
      <c r="AH280" s="104" t="n">
        <f aca="false">IF(AND($P280="高",$AG280=0,OR($F280&lt;&gt;"原始數據",$T280&lt;&gt;1)),1,0)</f>
        <v>0</v>
      </c>
      <c r="AI280" s="53" t="str">
        <f aca="false">IF(AND($P280="高",ISNUMBER($AF280)),INDEX(IDX_SrcDate,$AF280),"—")</f>
        <v>—</v>
      </c>
      <c r="AJ280" s="104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6" t="s">
        <v>3878</v>
      </c>
      <c r="B281" s="215" t="s">
        <v>3183</v>
      </c>
      <c r="C281" s="36" t="s">
        <v>3834</v>
      </c>
      <c r="D281" s="36" t="s">
        <v>3203</v>
      </c>
      <c r="E281" s="19" t="s">
        <v>3876</v>
      </c>
      <c r="F281" s="36" t="s">
        <v>80</v>
      </c>
      <c r="G281" s="215" t="s">
        <v>3185</v>
      </c>
      <c r="H281" s="36" t="s">
        <v>587</v>
      </c>
      <c r="I281" s="6" t="s">
        <v>587</v>
      </c>
      <c r="J281" s="36" t="s">
        <v>587</v>
      </c>
      <c r="K281" s="217" t="n">
        <v>0</v>
      </c>
      <c r="L281" s="217" t="n">
        <v>1</v>
      </c>
      <c r="M281" s="36" t="s">
        <v>3877</v>
      </c>
      <c r="N281" s="216" t="str">
        <f aca="false">Workload!$H$10</f>
        <v>Assumed：多數 API 不保留前輪思考（標準 harness）</v>
      </c>
      <c r="O281" s="6" t="s">
        <v>587</v>
      </c>
      <c r="P281" s="215" t="s">
        <v>3188</v>
      </c>
      <c r="Q281" s="177" t="n">
        <f aca="false">Workload!D10</f>
        <v>0</v>
      </c>
      <c r="R281" s="36" t="s">
        <v>587</v>
      </c>
      <c r="S281" s="35" t="str">
        <f aca="false">IF(ISNUMBER($AF281),INDEX(IDX_SrcStat,$AF281),"—")</f>
        <v>—</v>
      </c>
      <c r="T281" s="35" t="str">
        <f aca="false">IF(ISNUMBER($AF281),INDEX(IDX_SrcGrade,$AF281),"—")</f>
        <v>—</v>
      </c>
      <c r="U281" s="35" t="s">
        <v>3189</v>
      </c>
      <c r="V281" s="186" t="n">
        <f aca="false">IF(AND($F281="原始數據",$U281&lt;&gt;"連結 SRC"),1,0)</f>
        <v>0</v>
      </c>
      <c r="W281" s="186" t="n">
        <f aca="false">IF(AND($F281="Analogy",OR($H281="—",$H281="")),1,0)</f>
        <v>0</v>
      </c>
      <c r="X281" s="186" t="n">
        <f aca="false">IF(AND(OR($F281="Analogy",$F281="Assumed"),$G281&lt;&gt;"低",$G281&lt;&gt;"高",NOT(ISNUMBER($K281)),NOT(ISNUMBER($L281)),OR($M281="—",$M281="")),1,0)</f>
        <v>0</v>
      </c>
      <c r="Y281" s="186" t="n">
        <f aca="false">IF(AND(OR($F281="Analogy",$F281="Assumed",$F281="Derived（待改公式）",$F281="Derived（公式）"),OR($N281="—",$N281="",$N281=0)),1,0)</f>
        <v>0</v>
      </c>
      <c r="Z281" s="186" t="n">
        <f aca="false">IF(AND($F281="Decision",OR($J281="—",$J281="")),1,0)</f>
        <v>0</v>
      </c>
      <c r="AA281" s="183" t="n">
        <f aca="false">IF(OR($J281="—",$J281=""),0,IF(COUNTIF(Decisions!$A$5:$A$300,$J281)=0,1,0))</f>
        <v>0</v>
      </c>
      <c r="AB281" s="186" t="n">
        <f aca="false">IF(AND($F281="原始數據",$S281&lt;&gt;"Active"),1,0)</f>
        <v>0</v>
      </c>
      <c r="AC281" s="186" t="n">
        <f aca="false">IF(AND(ISNUMBER($K281),ISNUMBER($L281),ISNUMBER($Q281)),IF(OR($Q281&lt;MIN($K281,$L281),$Q281&gt;MAX($K281,$L281)),1,0),0)</f>
        <v>0</v>
      </c>
      <c r="AD281" s="186" t="n">
        <f aca="false">IF(AND(ISNUMBER($T281),$P281="高"),IF($T281=3,1,0),0)</f>
        <v>0</v>
      </c>
      <c r="AE281" s="186" t="n">
        <f aca="false">IF($S281="不存在",1,0)</f>
        <v>0</v>
      </c>
      <c r="AF281" s="35" t="str">
        <f aca="false">IF(OR($H281="—",$H281=""),"—",MATCH($H281,IDX_SrcID,0))</f>
        <v>—</v>
      </c>
      <c r="AG281" s="104" t="n">
        <f aca="false">IF(AND($P281="高",OR($AD281=1,$X281=1)),1,0)</f>
        <v>0</v>
      </c>
      <c r="AH281" s="104" t="n">
        <f aca="false">IF(AND($P281="高",$AG281=0,OR($F281&lt;&gt;"原始數據",$T281&lt;&gt;1)),1,0)</f>
        <v>0</v>
      </c>
      <c r="AI281" s="53" t="str">
        <f aca="false">IF(AND($P281="高",ISNUMBER($AF281)),INDEX(IDX_SrcDate,$AF281),"—")</f>
        <v>—</v>
      </c>
      <c r="AJ281" s="104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6" t="s">
        <v>3879</v>
      </c>
      <c r="B282" s="215" t="s">
        <v>3183</v>
      </c>
      <c r="C282" s="36" t="s">
        <v>3834</v>
      </c>
      <c r="D282" s="36" t="s">
        <v>3069</v>
      </c>
      <c r="E282" s="19" t="s">
        <v>3876</v>
      </c>
      <c r="F282" s="36" t="s">
        <v>80</v>
      </c>
      <c r="G282" s="215" t="s">
        <v>3185</v>
      </c>
      <c r="H282" s="36" t="s">
        <v>587</v>
      </c>
      <c r="I282" s="6" t="s">
        <v>587</v>
      </c>
      <c r="J282" s="36" t="s">
        <v>587</v>
      </c>
      <c r="K282" s="217" t="n">
        <v>0</v>
      </c>
      <c r="L282" s="217" t="n">
        <v>1</v>
      </c>
      <c r="M282" s="36" t="s">
        <v>3877</v>
      </c>
      <c r="N282" s="216" t="str">
        <f aca="false">Workload!$H$10</f>
        <v>Assumed：多數 API 不保留前輪思考（標準 harness）</v>
      </c>
      <c r="O282" s="6" t="s">
        <v>587</v>
      </c>
      <c r="P282" s="215" t="s">
        <v>3188</v>
      </c>
      <c r="Q282" s="177" t="n">
        <f aca="false">Workload!E10</f>
        <v>0</v>
      </c>
      <c r="R282" s="36" t="s">
        <v>587</v>
      </c>
      <c r="S282" s="35" t="str">
        <f aca="false">IF(ISNUMBER($AF282),INDEX(IDX_SrcStat,$AF282),"—")</f>
        <v>—</v>
      </c>
      <c r="T282" s="35" t="str">
        <f aca="false">IF(ISNUMBER($AF282),INDEX(IDX_SrcGrade,$AF282),"—")</f>
        <v>—</v>
      </c>
      <c r="U282" s="35" t="s">
        <v>3189</v>
      </c>
      <c r="V282" s="186" t="n">
        <f aca="false">IF(AND($F282="原始數據",$U282&lt;&gt;"連結 SRC"),1,0)</f>
        <v>0</v>
      </c>
      <c r="W282" s="186" t="n">
        <f aca="false">IF(AND($F282="Analogy",OR($H282="—",$H282="")),1,0)</f>
        <v>0</v>
      </c>
      <c r="X282" s="186" t="n">
        <f aca="false">IF(AND(OR($F282="Analogy",$F282="Assumed"),$G282&lt;&gt;"低",$G282&lt;&gt;"高",NOT(ISNUMBER($K282)),NOT(ISNUMBER($L282)),OR($M282="—",$M282="")),1,0)</f>
        <v>0</v>
      </c>
      <c r="Y282" s="186" t="n">
        <f aca="false">IF(AND(OR($F282="Analogy",$F282="Assumed",$F282="Derived（待改公式）",$F282="Derived（公式）"),OR($N282="—",$N282="",$N282=0)),1,0)</f>
        <v>0</v>
      </c>
      <c r="Z282" s="186" t="n">
        <f aca="false">IF(AND($F282="Decision",OR($J282="—",$J282="")),1,0)</f>
        <v>0</v>
      </c>
      <c r="AA282" s="183" t="n">
        <f aca="false">IF(OR($J282="—",$J282=""),0,IF(COUNTIF(Decisions!$A$5:$A$300,$J282)=0,1,0))</f>
        <v>0</v>
      </c>
      <c r="AB282" s="186" t="n">
        <f aca="false">IF(AND($F282="原始數據",$S282&lt;&gt;"Active"),1,0)</f>
        <v>0</v>
      </c>
      <c r="AC282" s="186" t="n">
        <f aca="false">IF(AND(ISNUMBER($K282),ISNUMBER($L282),ISNUMBER($Q282)),IF(OR($Q282&lt;MIN($K282,$L282),$Q282&gt;MAX($K282,$L282)),1,0),0)</f>
        <v>0</v>
      </c>
      <c r="AD282" s="186" t="n">
        <f aca="false">IF(AND(ISNUMBER($T282),$P282="高"),IF($T282=3,1,0),0)</f>
        <v>0</v>
      </c>
      <c r="AE282" s="186" t="n">
        <f aca="false">IF($S282="不存在",1,0)</f>
        <v>0</v>
      </c>
      <c r="AF282" s="35" t="str">
        <f aca="false">IF(OR($H282="—",$H282=""),"—",MATCH($H282,IDX_SrcID,0))</f>
        <v>—</v>
      </c>
      <c r="AG282" s="104" t="n">
        <f aca="false">IF(AND($P282="高",OR($AD282=1,$X282=1)),1,0)</f>
        <v>0</v>
      </c>
      <c r="AH282" s="104" t="n">
        <f aca="false">IF(AND($P282="高",$AG282=0,OR($F282&lt;&gt;"原始數據",$T282&lt;&gt;1)),1,0)</f>
        <v>0</v>
      </c>
      <c r="AI282" s="53" t="str">
        <f aca="false">IF(AND($P282="高",ISNUMBER($AF282)),INDEX(IDX_SrcDate,$AF282),"—")</f>
        <v>—</v>
      </c>
      <c r="AJ282" s="104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6" t="s">
        <v>3880</v>
      </c>
      <c r="B283" s="215" t="s">
        <v>3183</v>
      </c>
      <c r="C283" s="36" t="s">
        <v>3834</v>
      </c>
      <c r="D283" s="36" t="s">
        <v>3205</v>
      </c>
      <c r="E283" s="19" t="s">
        <v>3876</v>
      </c>
      <c r="F283" s="36" t="s">
        <v>80</v>
      </c>
      <c r="G283" s="215" t="s">
        <v>3185</v>
      </c>
      <c r="H283" s="36" t="s">
        <v>587</v>
      </c>
      <c r="I283" s="6" t="s">
        <v>587</v>
      </c>
      <c r="J283" s="36" t="s">
        <v>587</v>
      </c>
      <c r="K283" s="217" t="n">
        <v>0</v>
      </c>
      <c r="L283" s="217" t="n">
        <v>1</v>
      </c>
      <c r="M283" s="36" t="s">
        <v>3877</v>
      </c>
      <c r="N283" s="216" t="str">
        <f aca="false">Workload!$H$10</f>
        <v>Assumed：多數 API 不保留前輪思考（標準 harness）</v>
      </c>
      <c r="O283" s="6" t="s">
        <v>587</v>
      </c>
      <c r="P283" s="215" t="s">
        <v>3188</v>
      </c>
      <c r="Q283" s="177" t="n">
        <f aca="false">Workload!F10</f>
        <v>0</v>
      </c>
      <c r="R283" s="36" t="s">
        <v>587</v>
      </c>
      <c r="S283" s="35" t="str">
        <f aca="false">IF(ISNUMBER($AF283),INDEX(IDX_SrcStat,$AF283),"—")</f>
        <v>—</v>
      </c>
      <c r="T283" s="35" t="str">
        <f aca="false">IF(ISNUMBER($AF283),INDEX(IDX_SrcGrade,$AF283),"—")</f>
        <v>—</v>
      </c>
      <c r="U283" s="35" t="s">
        <v>3189</v>
      </c>
      <c r="V283" s="186" t="n">
        <f aca="false">IF(AND($F283="原始數據",$U283&lt;&gt;"連結 SRC"),1,0)</f>
        <v>0</v>
      </c>
      <c r="W283" s="186" t="n">
        <f aca="false">IF(AND($F283="Analogy",OR($H283="—",$H283="")),1,0)</f>
        <v>0</v>
      </c>
      <c r="X283" s="186" t="n">
        <f aca="false">IF(AND(OR($F283="Analogy",$F283="Assumed"),$G283&lt;&gt;"低",$G283&lt;&gt;"高",NOT(ISNUMBER($K283)),NOT(ISNUMBER($L283)),OR($M283="—",$M283="")),1,0)</f>
        <v>0</v>
      </c>
      <c r="Y283" s="186" t="n">
        <f aca="false">IF(AND(OR($F283="Analogy",$F283="Assumed",$F283="Derived（待改公式）",$F283="Derived（公式）"),OR($N283="—",$N283="",$N283=0)),1,0)</f>
        <v>0</v>
      </c>
      <c r="Z283" s="186" t="n">
        <f aca="false">IF(AND($F283="Decision",OR($J283="—",$J283="")),1,0)</f>
        <v>0</v>
      </c>
      <c r="AA283" s="183" t="n">
        <f aca="false">IF(OR($J283="—",$J283=""),0,IF(COUNTIF(Decisions!$A$5:$A$300,$J283)=0,1,0))</f>
        <v>0</v>
      </c>
      <c r="AB283" s="186" t="n">
        <f aca="false">IF(AND($F283="原始數據",$S283&lt;&gt;"Active"),1,0)</f>
        <v>0</v>
      </c>
      <c r="AC283" s="186" t="n">
        <f aca="false">IF(AND(ISNUMBER($K283),ISNUMBER($L283),ISNUMBER($Q283)),IF(OR($Q283&lt;MIN($K283,$L283),$Q283&gt;MAX($K283,$L283)),1,0),0)</f>
        <v>0</v>
      </c>
      <c r="AD283" s="186" t="n">
        <f aca="false">IF(AND(ISNUMBER($T283),$P283="高"),IF($T283=3,1,0),0)</f>
        <v>0</v>
      </c>
      <c r="AE283" s="186" t="n">
        <f aca="false">IF($S283="不存在",1,0)</f>
        <v>0</v>
      </c>
      <c r="AF283" s="35" t="str">
        <f aca="false">IF(OR($H283="—",$H283=""),"—",MATCH($H283,IDX_SrcID,0))</f>
        <v>—</v>
      </c>
      <c r="AG283" s="104" t="n">
        <f aca="false">IF(AND($P283="高",OR($AD283=1,$X283=1)),1,0)</f>
        <v>0</v>
      </c>
      <c r="AH283" s="104" t="n">
        <f aca="false">IF(AND($P283="高",$AG283=0,OR($F283&lt;&gt;"原始數據",$T283&lt;&gt;1)),1,0)</f>
        <v>0</v>
      </c>
      <c r="AI283" s="53" t="str">
        <f aca="false">IF(AND($P283="高",ISNUMBER($AF283)),INDEX(IDX_SrcDate,$AF283),"—")</f>
        <v>—</v>
      </c>
      <c r="AJ283" s="104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6" t="s">
        <v>3881</v>
      </c>
      <c r="B284" s="215" t="s">
        <v>3183</v>
      </c>
      <c r="C284" s="36" t="s">
        <v>3834</v>
      </c>
      <c r="D284" s="36" t="s">
        <v>3397</v>
      </c>
      <c r="E284" s="19" t="s">
        <v>3876</v>
      </c>
      <c r="F284" s="36" t="s">
        <v>80</v>
      </c>
      <c r="G284" s="215" t="s">
        <v>3185</v>
      </c>
      <c r="H284" s="36" t="s">
        <v>587</v>
      </c>
      <c r="I284" s="6" t="s">
        <v>587</v>
      </c>
      <c r="J284" s="36" t="s">
        <v>587</v>
      </c>
      <c r="K284" s="217" t="n">
        <v>0</v>
      </c>
      <c r="L284" s="217" t="n">
        <v>1</v>
      </c>
      <c r="M284" s="36" t="s">
        <v>3877</v>
      </c>
      <c r="N284" s="216" t="str">
        <f aca="false">Workload!$H$10</f>
        <v>Assumed：多數 API 不保留前輪思考（標準 harness）</v>
      </c>
      <c r="O284" s="6" t="s">
        <v>587</v>
      </c>
      <c r="P284" s="215" t="s">
        <v>3188</v>
      </c>
      <c r="Q284" s="177" t="n">
        <f aca="false">Workload!G10</f>
        <v>0</v>
      </c>
      <c r="R284" s="36" t="s">
        <v>587</v>
      </c>
      <c r="S284" s="35" t="str">
        <f aca="false">IF(ISNUMBER($AF284),INDEX(IDX_SrcStat,$AF284),"—")</f>
        <v>—</v>
      </c>
      <c r="T284" s="35" t="str">
        <f aca="false">IF(ISNUMBER($AF284),INDEX(IDX_SrcGrade,$AF284),"—")</f>
        <v>—</v>
      </c>
      <c r="U284" s="35" t="s">
        <v>3189</v>
      </c>
      <c r="V284" s="186" t="n">
        <f aca="false">IF(AND($F284="原始數據",$U284&lt;&gt;"連結 SRC"),1,0)</f>
        <v>0</v>
      </c>
      <c r="W284" s="186" t="n">
        <f aca="false">IF(AND($F284="Analogy",OR($H284="—",$H284="")),1,0)</f>
        <v>0</v>
      </c>
      <c r="X284" s="186" t="n">
        <f aca="false">IF(AND(OR($F284="Analogy",$F284="Assumed"),$G284&lt;&gt;"低",$G284&lt;&gt;"高",NOT(ISNUMBER($K284)),NOT(ISNUMBER($L284)),OR($M284="—",$M284="")),1,0)</f>
        <v>0</v>
      </c>
      <c r="Y284" s="186" t="n">
        <f aca="false">IF(AND(OR($F284="Analogy",$F284="Assumed",$F284="Derived（待改公式）",$F284="Derived（公式）"),OR($N284="—",$N284="",$N284=0)),1,0)</f>
        <v>0</v>
      </c>
      <c r="Z284" s="186" t="n">
        <f aca="false">IF(AND($F284="Decision",OR($J284="—",$J284="")),1,0)</f>
        <v>0</v>
      </c>
      <c r="AA284" s="183" t="n">
        <f aca="false">IF(OR($J284="—",$J284=""),0,IF(COUNTIF(Decisions!$A$5:$A$300,$J284)=0,1,0))</f>
        <v>0</v>
      </c>
      <c r="AB284" s="186" t="n">
        <f aca="false">IF(AND($F284="原始數據",$S284&lt;&gt;"Active"),1,0)</f>
        <v>0</v>
      </c>
      <c r="AC284" s="186" t="n">
        <f aca="false">IF(AND(ISNUMBER($K284),ISNUMBER($L284),ISNUMBER($Q284)),IF(OR($Q284&lt;MIN($K284,$L284),$Q284&gt;MAX($K284,$L284)),1,0),0)</f>
        <v>0</v>
      </c>
      <c r="AD284" s="186" t="n">
        <f aca="false">IF(AND(ISNUMBER($T284),$P284="高"),IF($T284=3,1,0),0)</f>
        <v>0</v>
      </c>
      <c r="AE284" s="186" t="n">
        <f aca="false">IF($S284="不存在",1,0)</f>
        <v>0</v>
      </c>
      <c r="AF284" s="35" t="str">
        <f aca="false">IF(OR($H284="—",$H284=""),"—",MATCH($H284,IDX_SrcID,0))</f>
        <v>—</v>
      </c>
      <c r="AG284" s="104" t="n">
        <f aca="false">IF(AND($P284="高",OR($AD284=1,$X284=1)),1,0)</f>
        <v>0</v>
      </c>
      <c r="AH284" s="104" t="n">
        <f aca="false">IF(AND($P284="高",$AG284=0,OR($F284&lt;&gt;"原始數據",$T284&lt;&gt;1)),1,0)</f>
        <v>0</v>
      </c>
      <c r="AI284" s="53" t="str">
        <f aca="false">IF(AND($P284="高",ISNUMBER($AF284)),INDEX(IDX_SrcDate,$AF284),"—")</f>
        <v>—</v>
      </c>
      <c r="AJ284" s="104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6" t="s">
        <v>3882</v>
      </c>
      <c r="B285" s="215" t="s">
        <v>3183</v>
      </c>
      <c r="C285" s="36" t="s">
        <v>3834</v>
      </c>
      <c r="D285" s="36" t="s">
        <v>3400</v>
      </c>
      <c r="E285" s="19" t="s">
        <v>3883</v>
      </c>
      <c r="F285" s="36" t="s">
        <v>80</v>
      </c>
      <c r="G285" s="215" t="s">
        <v>3185</v>
      </c>
      <c r="H285" s="36" t="s">
        <v>587</v>
      </c>
      <c r="I285" s="6" t="s">
        <v>587</v>
      </c>
      <c r="J285" s="36" t="s">
        <v>587</v>
      </c>
      <c r="K285" s="217" t="n">
        <v>0.3</v>
      </c>
      <c r="L285" s="217" t="n">
        <v>0.7</v>
      </c>
      <c r="M285" s="36" t="s">
        <v>3884</v>
      </c>
      <c r="N285" s="216" t="str">
        <f aca="false">Workload!$H$11</f>
        <v>Assumed；代理迴圈前綴重用高</v>
      </c>
      <c r="O285" s="6" t="s">
        <v>587</v>
      </c>
      <c r="P285" s="215" t="s">
        <v>1116</v>
      </c>
      <c r="Q285" s="177" t="n">
        <f aca="false">Workload!C11</f>
        <v>0.5</v>
      </c>
      <c r="R285" s="36" t="s">
        <v>587</v>
      </c>
      <c r="S285" s="35" t="str">
        <f aca="false">IF(ISNUMBER($AF285),INDEX(IDX_SrcStat,$AF285),"—")</f>
        <v>—</v>
      </c>
      <c r="T285" s="35" t="str">
        <f aca="false">IF(ISNUMBER($AF285),INDEX(IDX_SrcGrade,$AF285),"—")</f>
        <v>—</v>
      </c>
      <c r="U285" s="35" t="s">
        <v>3189</v>
      </c>
      <c r="V285" s="186" t="n">
        <f aca="false">IF(AND($F285="原始數據",$U285&lt;&gt;"連結 SRC"),1,0)</f>
        <v>0</v>
      </c>
      <c r="W285" s="186" t="n">
        <f aca="false">IF(AND($F285="Analogy",OR($H285="—",$H285="")),1,0)</f>
        <v>0</v>
      </c>
      <c r="X285" s="186" t="n">
        <f aca="false">IF(AND(OR($F285="Analogy",$F285="Assumed"),$G285&lt;&gt;"低",$G285&lt;&gt;"高",NOT(ISNUMBER($K285)),NOT(ISNUMBER($L285)),OR($M285="—",$M285="")),1,0)</f>
        <v>0</v>
      </c>
      <c r="Y285" s="186" t="n">
        <f aca="false">IF(AND(OR($F285="Analogy",$F285="Assumed",$F285="Derived（待改公式）",$F285="Derived（公式）"),OR($N285="—",$N285="",$N285=0)),1,0)</f>
        <v>0</v>
      </c>
      <c r="Z285" s="186" t="n">
        <f aca="false">IF(AND($F285="Decision",OR($J285="—",$J285="")),1,0)</f>
        <v>0</v>
      </c>
      <c r="AA285" s="183" t="n">
        <f aca="false">IF(OR($J285="—",$J285=""),0,IF(COUNTIF(Decisions!$A$5:$A$300,$J285)=0,1,0))</f>
        <v>0</v>
      </c>
      <c r="AB285" s="186" t="n">
        <f aca="false">IF(AND($F285="原始數據",$S285&lt;&gt;"Active"),1,0)</f>
        <v>0</v>
      </c>
      <c r="AC285" s="186" t="n">
        <f aca="false">IF(AND(ISNUMBER($K285),ISNUMBER($L285),ISNUMBER($Q285)),IF(OR($Q285&lt;MIN($K285,$L285),$Q285&gt;MAX($K285,$L285)),1,0),0)</f>
        <v>0</v>
      </c>
      <c r="AD285" s="186" t="n">
        <f aca="false">IF(AND(ISNUMBER($T285),$P285="高"),IF($T285=3,1,0),0)</f>
        <v>0</v>
      </c>
      <c r="AE285" s="186" t="n">
        <f aca="false">IF($S285="不存在",1,0)</f>
        <v>0</v>
      </c>
      <c r="AF285" s="35" t="str">
        <f aca="false">IF(OR($H285="—",$H285=""),"—",MATCH($H285,IDX_SrcID,0))</f>
        <v>—</v>
      </c>
      <c r="AG285" s="104" t="n">
        <f aca="false">IF(AND($P285="高",OR($AD285=1,$X285=1)),1,0)</f>
        <v>0</v>
      </c>
      <c r="AH285" s="104" t="n">
        <f aca="false">IF(AND($P285="高",$AG285=0,OR($F285&lt;&gt;"原始數據",$T285&lt;&gt;1)),1,0)</f>
        <v>1</v>
      </c>
      <c r="AI285" s="53" t="str">
        <f aca="false">IF(AND($P285="高",ISNUMBER($AF285)),INDEX(IDX_SrcDate,$AF285),"—")</f>
        <v>—</v>
      </c>
      <c r="AJ285" s="104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6" t="s">
        <v>3885</v>
      </c>
      <c r="B286" s="215" t="s">
        <v>3183</v>
      </c>
      <c r="C286" s="36" t="s">
        <v>3834</v>
      </c>
      <c r="D286" s="36" t="s">
        <v>3210</v>
      </c>
      <c r="E286" s="19" t="s">
        <v>3883</v>
      </c>
      <c r="F286" s="36" t="s">
        <v>80</v>
      </c>
      <c r="G286" s="215" t="s">
        <v>3185</v>
      </c>
      <c r="H286" s="36" t="s">
        <v>587</v>
      </c>
      <c r="I286" s="6" t="s">
        <v>587</v>
      </c>
      <c r="J286" s="36" t="s">
        <v>587</v>
      </c>
      <c r="K286" s="217" t="n">
        <v>0.3</v>
      </c>
      <c r="L286" s="217" t="n">
        <v>0.7</v>
      </c>
      <c r="M286" s="36" t="s">
        <v>3884</v>
      </c>
      <c r="N286" s="216" t="str">
        <f aca="false">Workload!$H$11</f>
        <v>Assumed；代理迴圈前綴重用高</v>
      </c>
      <c r="O286" s="6" t="s">
        <v>587</v>
      </c>
      <c r="P286" s="215" t="s">
        <v>1116</v>
      </c>
      <c r="Q286" s="177" t="n">
        <f aca="false">Workload!D11</f>
        <v>0.5</v>
      </c>
      <c r="R286" s="36" t="s">
        <v>587</v>
      </c>
      <c r="S286" s="35" t="str">
        <f aca="false">IF(ISNUMBER($AF286),INDEX(IDX_SrcStat,$AF286),"—")</f>
        <v>—</v>
      </c>
      <c r="T286" s="35" t="str">
        <f aca="false">IF(ISNUMBER($AF286),INDEX(IDX_SrcGrade,$AF286),"—")</f>
        <v>—</v>
      </c>
      <c r="U286" s="35" t="s">
        <v>3189</v>
      </c>
      <c r="V286" s="186" t="n">
        <f aca="false">IF(AND($F286="原始數據",$U286&lt;&gt;"連結 SRC"),1,0)</f>
        <v>0</v>
      </c>
      <c r="W286" s="186" t="n">
        <f aca="false">IF(AND($F286="Analogy",OR($H286="—",$H286="")),1,0)</f>
        <v>0</v>
      </c>
      <c r="X286" s="186" t="n">
        <f aca="false">IF(AND(OR($F286="Analogy",$F286="Assumed"),$G286&lt;&gt;"低",$G286&lt;&gt;"高",NOT(ISNUMBER($K286)),NOT(ISNUMBER($L286)),OR($M286="—",$M286="")),1,0)</f>
        <v>0</v>
      </c>
      <c r="Y286" s="186" t="n">
        <f aca="false">IF(AND(OR($F286="Analogy",$F286="Assumed",$F286="Derived（待改公式）",$F286="Derived（公式）"),OR($N286="—",$N286="",$N286=0)),1,0)</f>
        <v>0</v>
      </c>
      <c r="Z286" s="186" t="n">
        <f aca="false">IF(AND($F286="Decision",OR($J286="—",$J286="")),1,0)</f>
        <v>0</v>
      </c>
      <c r="AA286" s="183" t="n">
        <f aca="false">IF(OR($J286="—",$J286=""),0,IF(COUNTIF(Decisions!$A$5:$A$300,$J286)=0,1,0))</f>
        <v>0</v>
      </c>
      <c r="AB286" s="186" t="n">
        <f aca="false">IF(AND($F286="原始數據",$S286&lt;&gt;"Active"),1,0)</f>
        <v>0</v>
      </c>
      <c r="AC286" s="186" t="n">
        <f aca="false">IF(AND(ISNUMBER($K286),ISNUMBER($L286),ISNUMBER($Q286)),IF(OR($Q286&lt;MIN($K286,$L286),$Q286&gt;MAX($K286,$L286)),1,0),0)</f>
        <v>0</v>
      </c>
      <c r="AD286" s="186" t="n">
        <f aca="false">IF(AND(ISNUMBER($T286),$P286="高"),IF($T286=3,1,0),0)</f>
        <v>0</v>
      </c>
      <c r="AE286" s="186" t="n">
        <f aca="false">IF($S286="不存在",1,0)</f>
        <v>0</v>
      </c>
      <c r="AF286" s="35" t="str">
        <f aca="false">IF(OR($H286="—",$H286=""),"—",MATCH($H286,IDX_SrcID,0))</f>
        <v>—</v>
      </c>
      <c r="AG286" s="104" t="n">
        <f aca="false">IF(AND($P286="高",OR($AD286=1,$X286=1)),1,0)</f>
        <v>0</v>
      </c>
      <c r="AH286" s="104" t="n">
        <f aca="false">IF(AND($P286="高",$AG286=0,OR($F286&lt;&gt;"原始數據",$T286&lt;&gt;1)),1,0)</f>
        <v>1</v>
      </c>
      <c r="AI286" s="53" t="str">
        <f aca="false">IF(AND($P286="高",ISNUMBER($AF286)),INDEX(IDX_SrcDate,$AF286),"—")</f>
        <v>—</v>
      </c>
      <c r="AJ286" s="104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6" t="s">
        <v>3886</v>
      </c>
      <c r="B287" s="215" t="s">
        <v>3183</v>
      </c>
      <c r="C287" s="36" t="s">
        <v>3834</v>
      </c>
      <c r="D287" s="36" t="s">
        <v>3072</v>
      </c>
      <c r="E287" s="19" t="s">
        <v>3883</v>
      </c>
      <c r="F287" s="36" t="s">
        <v>80</v>
      </c>
      <c r="G287" s="215" t="s">
        <v>3185</v>
      </c>
      <c r="H287" s="36" t="s">
        <v>587</v>
      </c>
      <c r="I287" s="6" t="s">
        <v>587</v>
      </c>
      <c r="J287" s="36" t="s">
        <v>587</v>
      </c>
      <c r="K287" s="217" t="n">
        <v>0.7</v>
      </c>
      <c r="L287" s="217" t="n">
        <v>0.95</v>
      </c>
      <c r="M287" s="36" t="s">
        <v>3887</v>
      </c>
      <c r="N287" s="216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587</v>
      </c>
      <c r="P287" s="215" t="s">
        <v>1116</v>
      </c>
      <c r="Q287" s="177" t="n">
        <f aca="false">Workload!E11</f>
        <v>0.9</v>
      </c>
      <c r="R287" s="36" t="s">
        <v>587</v>
      </c>
      <c r="S287" s="35" t="str">
        <f aca="false">IF(ISNUMBER($AF287),INDEX(IDX_SrcStat,$AF287),"—")</f>
        <v>—</v>
      </c>
      <c r="T287" s="35" t="str">
        <f aca="false">IF(ISNUMBER($AF287),INDEX(IDX_SrcGrade,$AF287),"—")</f>
        <v>—</v>
      </c>
      <c r="U287" s="35" t="s">
        <v>3189</v>
      </c>
      <c r="V287" s="186" t="n">
        <f aca="false">IF(AND($F287="原始數據",$U287&lt;&gt;"連結 SRC"),1,0)</f>
        <v>0</v>
      </c>
      <c r="W287" s="186" t="n">
        <f aca="false">IF(AND($F287="Analogy",OR($H287="—",$H287="")),1,0)</f>
        <v>0</v>
      </c>
      <c r="X287" s="186" t="n">
        <f aca="false">IF(AND(OR($F287="Analogy",$F287="Assumed"),$G287&lt;&gt;"低",$G287&lt;&gt;"高",NOT(ISNUMBER($K287)),NOT(ISNUMBER($L287)),OR($M287="—",$M287="")),1,0)</f>
        <v>0</v>
      </c>
      <c r="Y287" s="186" t="n">
        <f aca="false">IF(AND(OR($F287="Analogy",$F287="Assumed",$F287="Derived（待改公式）",$F287="Derived（公式）"),OR($N287="—",$N287="",$N287=0)),1,0)</f>
        <v>0</v>
      </c>
      <c r="Z287" s="186" t="n">
        <f aca="false">IF(AND($F287="Decision",OR($J287="—",$J287="")),1,0)</f>
        <v>0</v>
      </c>
      <c r="AA287" s="183" t="n">
        <f aca="false">IF(OR($J287="—",$J287=""),0,IF(COUNTIF(Decisions!$A$5:$A$300,$J287)=0,1,0))</f>
        <v>0</v>
      </c>
      <c r="AB287" s="186" t="n">
        <f aca="false">IF(AND($F287="原始數據",$S287&lt;&gt;"Active"),1,0)</f>
        <v>0</v>
      </c>
      <c r="AC287" s="186" t="n">
        <f aca="false">IF(AND(ISNUMBER($K287),ISNUMBER($L287),ISNUMBER($Q287)),IF(OR($Q287&lt;MIN($K287,$L287),$Q287&gt;MAX($K287,$L287)),1,0),0)</f>
        <v>0</v>
      </c>
      <c r="AD287" s="186" t="n">
        <f aca="false">IF(AND(ISNUMBER($T287),$P287="高"),IF($T287=3,1,0),0)</f>
        <v>0</v>
      </c>
      <c r="AE287" s="186" t="n">
        <f aca="false">IF($S287="不存在",1,0)</f>
        <v>0</v>
      </c>
      <c r="AF287" s="35" t="str">
        <f aca="false">IF(OR($H287="—",$H287=""),"—",MATCH($H287,IDX_SrcID,0))</f>
        <v>—</v>
      </c>
      <c r="AG287" s="104" t="n">
        <f aca="false">IF(AND($P287="高",OR($AD287=1,$X287=1)),1,0)</f>
        <v>0</v>
      </c>
      <c r="AH287" s="104" t="n">
        <f aca="false">IF(AND($P287="高",$AG287=0,OR($F287&lt;&gt;"原始數據",$T287&lt;&gt;1)),1,0)</f>
        <v>1</v>
      </c>
      <c r="AI287" s="53" t="str">
        <f aca="false">IF(AND($P287="高",ISNUMBER($AF287)),INDEX(IDX_SrcDate,$AF287),"—")</f>
        <v>—</v>
      </c>
      <c r="AJ287" s="104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6" t="s">
        <v>3888</v>
      </c>
      <c r="B288" s="215" t="s">
        <v>3183</v>
      </c>
      <c r="C288" s="36" t="s">
        <v>3834</v>
      </c>
      <c r="D288" s="36" t="s">
        <v>3212</v>
      </c>
      <c r="E288" s="19" t="s">
        <v>3883</v>
      </c>
      <c r="F288" s="36" t="s">
        <v>80</v>
      </c>
      <c r="G288" s="215" t="s">
        <v>3185</v>
      </c>
      <c r="H288" s="36" t="s">
        <v>587</v>
      </c>
      <c r="I288" s="6" t="s">
        <v>587</v>
      </c>
      <c r="J288" s="36" t="s">
        <v>587</v>
      </c>
      <c r="K288" s="217" t="n">
        <v>0.7</v>
      </c>
      <c r="L288" s="217" t="n">
        <v>0.95</v>
      </c>
      <c r="M288" s="36" t="s">
        <v>3887</v>
      </c>
      <c r="N288" s="216" t="str">
        <f aca="false">Workload!$H$11</f>
        <v>Assumed；代理迴圈前綴重用高</v>
      </c>
      <c r="O288" s="6" t="s">
        <v>587</v>
      </c>
      <c r="P288" s="215" t="s">
        <v>1116</v>
      </c>
      <c r="Q288" s="177" t="n">
        <f aca="false">Workload!F11</f>
        <v>0.9</v>
      </c>
      <c r="R288" s="36" t="s">
        <v>587</v>
      </c>
      <c r="S288" s="35" t="str">
        <f aca="false">IF(ISNUMBER($AF288),INDEX(IDX_SrcStat,$AF288),"—")</f>
        <v>—</v>
      </c>
      <c r="T288" s="35" t="str">
        <f aca="false">IF(ISNUMBER($AF288),INDEX(IDX_SrcGrade,$AF288),"—")</f>
        <v>—</v>
      </c>
      <c r="U288" s="35" t="s">
        <v>3189</v>
      </c>
      <c r="V288" s="186" t="n">
        <f aca="false">IF(AND($F288="原始數據",$U288&lt;&gt;"連結 SRC"),1,0)</f>
        <v>0</v>
      </c>
      <c r="W288" s="186" t="n">
        <f aca="false">IF(AND($F288="Analogy",OR($H288="—",$H288="")),1,0)</f>
        <v>0</v>
      </c>
      <c r="X288" s="186" t="n">
        <f aca="false">IF(AND(OR($F288="Analogy",$F288="Assumed"),$G288&lt;&gt;"低",$G288&lt;&gt;"高",NOT(ISNUMBER($K288)),NOT(ISNUMBER($L288)),OR($M288="—",$M288="")),1,0)</f>
        <v>0</v>
      </c>
      <c r="Y288" s="186" t="n">
        <f aca="false">IF(AND(OR($F288="Analogy",$F288="Assumed",$F288="Derived（待改公式）",$F288="Derived（公式）"),OR($N288="—",$N288="",$N288=0)),1,0)</f>
        <v>0</v>
      </c>
      <c r="Z288" s="186" t="n">
        <f aca="false">IF(AND($F288="Decision",OR($J288="—",$J288="")),1,0)</f>
        <v>0</v>
      </c>
      <c r="AA288" s="183" t="n">
        <f aca="false">IF(OR($J288="—",$J288=""),0,IF(COUNTIF(Decisions!$A$5:$A$300,$J288)=0,1,0))</f>
        <v>0</v>
      </c>
      <c r="AB288" s="186" t="n">
        <f aca="false">IF(AND($F288="原始數據",$S288&lt;&gt;"Active"),1,0)</f>
        <v>0</v>
      </c>
      <c r="AC288" s="186" t="n">
        <f aca="false">IF(AND(ISNUMBER($K288),ISNUMBER($L288),ISNUMBER($Q288)),IF(OR($Q288&lt;MIN($K288,$L288),$Q288&gt;MAX($K288,$L288)),1,0),0)</f>
        <v>0</v>
      </c>
      <c r="AD288" s="186" t="n">
        <f aca="false">IF(AND(ISNUMBER($T288),$P288="高"),IF($T288=3,1,0),0)</f>
        <v>0</v>
      </c>
      <c r="AE288" s="186" t="n">
        <f aca="false">IF($S288="不存在",1,0)</f>
        <v>0</v>
      </c>
      <c r="AF288" s="35" t="str">
        <f aca="false">IF(OR($H288="—",$H288=""),"—",MATCH($H288,IDX_SrcID,0))</f>
        <v>—</v>
      </c>
      <c r="AG288" s="104" t="n">
        <f aca="false">IF(AND($P288="高",OR($AD288=1,$X288=1)),1,0)</f>
        <v>0</v>
      </c>
      <c r="AH288" s="104" t="n">
        <f aca="false">IF(AND($P288="高",$AG288=0,OR($F288&lt;&gt;"原始數據",$T288&lt;&gt;1)),1,0)</f>
        <v>1</v>
      </c>
      <c r="AI288" s="53" t="str">
        <f aca="false">IF(AND($P288="高",ISNUMBER($AF288)),INDEX(IDX_SrcDate,$AF288),"—")</f>
        <v>—</v>
      </c>
      <c r="AJ288" s="104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6" t="s">
        <v>3889</v>
      </c>
      <c r="B289" s="215" t="s">
        <v>3183</v>
      </c>
      <c r="C289" s="36" t="s">
        <v>3834</v>
      </c>
      <c r="D289" s="36" t="s">
        <v>3415</v>
      </c>
      <c r="E289" s="19" t="s">
        <v>3883</v>
      </c>
      <c r="F289" s="36" t="s">
        <v>80</v>
      </c>
      <c r="G289" s="215" t="s">
        <v>3185</v>
      </c>
      <c r="H289" s="36" t="s">
        <v>587</v>
      </c>
      <c r="I289" s="6" t="s">
        <v>587</v>
      </c>
      <c r="J289" s="36" t="s">
        <v>587</v>
      </c>
      <c r="K289" s="217" t="n">
        <v>0.7</v>
      </c>
      <c r="L289" s="217" t="n">
        <v>0.95</v>
      </c>
      <c r="M289" s="36" t="s">
        <v>3887</v>
      </c>
      <c r="N289" s="216" t="str">
        <f aca="false">Workload!$H$11</f>
        <v>Assumed；代理迴圈前綴重用高</v>
      </c>
      <c r="O289" s="6" t="s">
        <v>587</v>
      </c>
      <c r="P289" s="215" t="s">
        <v>1116</v>
      </c>
      <c r="Q289" s="177" t="n">
        <f aca="false">Workload!G11</f>
        <v>0.9</v>
      </c>
      <c r="R289" s="36" t="s">
        <v>587</v>
      </c>
      <c r="S289" s="35" t="str">
        <f aca="false">IF(ISNUMBER($AF289),INDEX(IDX_SrcStat,$AF289),"—")</f>
        <v>—</v>
      </c>
      <c r="T289" s="35" t="str">
        <f aca="false">IF(ISNUMBER($AF289),INDEX(IDX_SrcGrade,$AF289),"—")</f>
        <v>—</v>
      </c>
      <c r="U289" s="35" t="s">
        <v>3189</v>
      </c>
      <c r="V289" s="186" t="n">
        <f aca="false">IF(AND($F289="原始數據",$U289&lt;&gt;"連結 SRC"),1,0)</f>
        <v>0</v>
      </c>
      <c r="W289" s="186" t="n">
        <f aca="false">IF(AND($F289="Analogy",OR($H289="—",$H289="")),1,0)</f>
        <v>0</v>
      </c>
      <c r="X289" s="186" t="n">
        <f aca="false">IF(AND(OR($F289="Analogy",$F289="Assumed"),$G289&lt;&gt;"低",$G289&lt;&gt;"高",NOT(ISNUMBER($K289)),NOT(ISNUMBER($L289)),OR($M289="—",$M289="")),1,0)</f>
        <v>0</v>
      </c>
      <c r="Y289" s="186" t="n">
        <f aca="false">IF(AND(OR($F289="Analogy",$F289="Assumed",$F289="Derived（待改公式）",$F289="Derived（公式）"),OR($N289="—",$N289="",$N289=0)),1,0)</f>
        <v>0</v>
      </c>
      <c r="Z289" s="186" t="n">
        <f aca="false">IF(AND($F289="Decision",OR($J289="—",$J289="")),1,0)</f>
        <v>0</v>
      </c>
      <c r="AA289" s="183" t="n">
        <f aca="false">IF(OR($J289="—",$J289=""),0,IF(COUNTIF(Decisions!$A$5:$A$300,$J289)=0,1,0))</f>
        <v>0</v>
      </c>
      <c r="AB289" s="186" t="n">
        <f aca="false">IF(AND($F289="原始數據",$S289&lt;&gt;"Active"),1,0)</f>
        <v>0</v>
      </c>
      <c r="AC289" s="186" t="n">
        <f aca="false">IF(AND(ISNUMBER($K289),ISNUMBER($L289),ISNUMBER($Q289)),IF(OR($Q289&lt;MIN($K289,$L289),$Q289&gt;MAX($K289,$L289)),1,0),0)</f>
        <v>0</v>
      </c>
      <c r="AD289" s="186" t="n">
        <f aca="false">IF(AND(ISNUMBER($T289),$P289="高"),IF($T289=3,1,0),0)</f>
        <v>0</v>
      </c>
      <c r="AE289" s="186" t="n">
        <f aca="false">IF($S289="不存在",1,0)</f>
        <v>0</v>
      </c>
      <c r="AF289" s="35" t="str">
        <f aca="false">IF(OR($H289="—",$H289=""),"—",MATCH($H289,IDX_SrcID,0))</f>
        <v>—</v>
      </c>
      <c r="AG289" s="104" t="n">
        <f aca="false">IF(AND($P289="高",OR($AD289=1,$X289=1)),1,0)</f>
        <v>0</v>
      </c>
      <c r="AH289" s="104" t="n">
        <f aca="false">IF(AND($P289="高",$AG289=0,OR($F289&lt;&gt;"原始數據",$T289&lt;&gt;1)),1,0)</f>
        <v>1</v>
      </c>
      <c r="AI289" s="53" t="str">
        <f aca="false">IF(AND($P289="高",ISNUMBER($AF289)),INDEX(IDX_SrcDate,$AF289),"—")</f>
        <v>—</v>
      </c>
      <c r="AJ289" s="104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6" t="s">
        <v>3890</v>
      </c>
      <c r="B290" s="215" t="s">
        <v>3183</v>
      </c>
      <c r="C290" s="36" t="s">
        <v>3834</v>
      </c>
      <c r="D290" s="36" t="s">
        <v>3420</v>
      </c>
      <c r="E290" s="19" t="s">
        <v>3891</v>
      </c>
      <c r="F290" s="36" t="s">
        <v>80</v>
      </c>
      <c r="G290" s="215" t="s">
        <v>3185</v>
      </c>
      <c r="H290" s="36" t="s">
        <v>587</v>
      </c>
      <c r="I290" s="6" t="s">
        <v>587</v>
      </c>
      <c r="J290" s="36" t="s">
        <v>587</v>
      </c>
      <c r="K290" s="217" t="n">
        <v>0</v>
      </c>
      <c r="L290" s="185" t="n">
        <f aca="false">MAX(1,Workload!C12*2)</f>
        <v>1</v>
      </c>
      <c r="M290" s="36" t="s">
        <v>3892</v>
      </c>
      <c r="N290" s="216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587</v>
      </c>
      <c r="P290" s="215" t="s">
        <v>3188</v>
      </c>
      <c r="Q290" s="183" t="n">
        <f aca="false">Workload!C12</f>
        <v>0</v>
      </c>
      <c r="R290" s="36" t="s">
        <v>587</v>
      </c>
      <c r="S290" s="35" t="str">
        <f aca="false">IF(ISNUMBER($AF290),INDEX(IDX_SrcStat,$AF290),"—")</f>
        <v>—</v>
      </c>
      <c r="T290" s="35" t="str">
        <f aca="false">IF(ISNUMBER($AF290),INDEX(IDX_SrcGrade,$AF290),"—")</f>
        <v>—</v>
      </c>
      <c r="U290" s="35" t="s">
        <v>3189</v>
      </c>
      <c r="V290" s="186" t="n">
        <f aca="false">IF(AND($F290="原始數據",$U290&lt;&gt;"連結 SRC"),1,0)</f>
        <v>0</v>
      </c>
      <c r="W290" s="186" t="n">
        <f aca="false">IF(AND($F290="Analogy",OR($H290="—",$H290="")),1,0)</f>
        <v>0</v>
      </c>
      <c r="X290" s="186" t="n">
        <f aca="false">IF(AND(OR($F290="Analogy",$F290="Assumed"),$G290&lt;&gt;"低",$G290&lt;&gt;"高",NOT(ISNUMBER($K290)),NOT(ISNUMBER($L290)),OR($M290="—",$M290="")),1,0)</f>
        <v>0</v>
      </c>
      <c r="Y290" s="186" t="n">
        <f aca="false">IF(AND(OR($F290="Analogy",$F290="Assumed",$F290="Derived（待改公式）",$F290="Derived（公式）"),OR($N290="—",$N290="",$N290=0)),1,0)</f>
        <v>0</v>
      </c>
      <c r="Z290" s="186" t="n">
        <f aca="false">IF(AND($F290="Decision",OR($J290="—",$J290="")),1,0)</f>
        <v>0</v>
      </c>
      <c r="AA290" s="183" t="n">
        <f aca="false">IF(OR($J290="—",$J290=""),0,IF(COUNTIF(Decisions!$A$5:$A$300,$J290)=0,1,0))</f>
        <v>0</v>
      </c>
      <c r="AB290" s="186" t="n">
        <f aca="false">IF(AND($F290="原始數據",$S290&lt;&gt;"Active"),1,0)</f>
        <v>0</v>
      </c>
      <c r="AC290" s="186" t="n">
        <f aca="false">IF(AND(ISNUMBER($K290),ISNUMBER($L290),ISNUMBER($Q290)),IF(OR($Q290&lt;MIN($K290,$L290),$Q290&gt;MAX($K290,$L290)),1,0),0)</f>
        <v>0</v>
      </c>
      <c r="AD290" s="186" t="n">
        <f aca="false">IF(AND(ISNUMBER($T290),$P290="高"),IF($T290=3,1,0),0)</f>
        <v>0</v>
      </c>
      <c r="AE290" s="186" t="n">
        <f aca="false">IF($S290="不存在",1,0)</f>
        <v>0</v>
      </c>
      <c r="AF290" s="35" t="str">
        <f aca="false">IF(OR($H290="—",$H290=""),"—",MATCH($H290,IDX_SrcID,0))</f>
        <v>—</v>
      </c>
      <c r="AG290" s="104" t="n">
        <f aca="false">IF(AND($P290="高",OR($AD290=1,$X290=1)),1,0)</f>
        <v>0</v>
      </c>
      <c r="AH290" s="104" t="n">
        <f aca="false">IF(AND($P290="高",$AG290=0,OR($F290&lt;&gt;"原始數據",$T290&lt;&gt;1)),1,0)</f>
        <v>0</v>
      </c>
      <c r="AI290" s="53" t="str">
        <f aca="false">IF(AND($P290="高",ISNUMBER($AF290)),INDEX(IDX_SrcDate,$AF290),"—")</f>
        <v>—</v>
      </c>
      <c r="AJ290" s="104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6" t="s">
        <v>3893</v>
      </c>
      <c r="B291" s="215" t="s">
        <v>3183</v>
      </c>
      <c r="C291" s="36" t="s">
        <v>3834</v>
      </c>
      <c r="D291" s="36" t="s">
        <v>3424</v>
      </c>
      <c r="E291" s="19" t="s">
        <v>3891</v>
      </c>
      <c r="F291" s="36" t="s">
        <v>80</v>
      </c>
      <c r="G291" s="215" t="s">
        <v>3185</v>
      </c>
      <c r="H291" s="36" t="s">
        <v>587</v>
      </c>
      <c r="I291" s="6" t="s">
        <v>587</v>
      </c>
      <c r="J291" s="36" t="s">
        <v>587</v>
      </c>
      <c r="K291" s="217" t="n">
        <v>0</v>
      </c>
      <c r="L291" s="185" t="n">
        <f aca="false">MAX(1,Workload!D12*2)</f>
        <v>1</v>
      </c>
      <c r="M291" s="36" t="s">
        <v>3892</v>
      </c>
      <c r="N291" s="216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587</v>
      </c>
      <c r="P291" s="215" t="s">
        <v>3188</v>
      </c>
      <c r="Q291" s="183" t="n">
        <f aca="false">Workload!D12</f>
        <v>0</v>
      </c>
      <c r="R291" s="36" t="s">
        <v>587</v>
      </c>
      <c r="S291" s="35" t="str">
        <f aca="false">IF(ISNUMBER($AF291),INDEX(IDX_SrcStat,$AF291),"—")</f>
        <v>—</v>
      </c>
      <c r="T291" s="35" t="str">
        <f aca="false">IF(ISNUMBER($AF291),INDEX(IDX_SrcGrade,$AF291),"—")</f>
        <v>—</v>
      </c>
      <c r="U291" s="35" t="s">
        <v>3189</v>
      </c>
      <c r="V291" s="186" t="n">
        <f aca="false">IF(AND($F291="原始數據",$U291&lt;&gt;"連結 SRC"),1,0)</f>
        <v>0</v>
      </c>
      <c r="W291" s="186" t="n">
        <f aca="false">IF(AND($F291="Analogy",OR($H291="—",$H291="")),1,0)</f>
        <v>0</v>
      </c>
      <c r="X291" s="186" t="n">
        <f aca="false">IF(AND(OR($F291="Analogy",$F291="Assumed"),$G291&lt;&gt;"低",$G291&lt;&gt;"高",NOT(ISNUMBER($K291)),NOT(ISNUMBER($L291)),OR($M291="—",$M291="")),1,0)</f>
        <v>0</v>
      </c>
      <c r="Y291" s="186" t="n">
        <f aca="false">IF(AND(OR($F291="Analogy",$F291="Assumed",$F291="Derived（待改公式）",$F291="Derived（公式）"),OR($N291="—",$N291="",$N291=0)),1,0)</f>
        <v>0</v>
      </c>
      <c r="Z291" s="186" t="n">
        <f aca="false">IF(AND($F291="Decision",OR($J291="—",$J291="")),1,0)</f>
        <v>0</v>
      </c>
      <c r="AA291" s="183" t="n">
        <f aca="false">IF(OR($J291="—",$J291=""),0,IF(COUNTIF(Decisions!$A$5:$A$300,$J291)=0,1,0))</f>
        <v>0</v>
      </c>
      <c r="AB291" s="186" t="n">
        <f aca="false">IF(AND($F291="原始數據",$S291&lt;&gt;"Active"),1,0)</f>
        <v>0</v>
      </c>
      <c r="AC291" s="186" t="n">
        <f aca="false">IF(AND(ISNUMBER($K291),ISNUMBER($L291),ISNUMBER($Q291)),IF(OR($Q291&lt;MIN($K291,$L291),$Q291&gt;MAX($K291,$L291)),1,0),0)</f>
        <v>0</v>
      </c>
      <c r="AD291" s="186" t="n">
        <f aca="false">IF(AND(ISNUMBER($T291),$P291="高"),IF($T291=3,1,0),0)</f>
        <v>0</v>
      </c>
      <c r="AE291" s="186" t="n">
        <f aca="false">IF($S291="不存在",1,0)</f>
        <v>0</v>
      </c>
      <c r="AF291" s="35" t="str">
        <f aca="false">IF(OR($H291="—",$H291=""),"—",MATCH($H291,IDX_SrcID,0))</f>
        <v>—</v>
      </c>
      <c r="AG291" s="104" t="n">
        <f aca="false">IF(AND($P291="高",OR($AD291=1,$X291=1)),1,0)</f>
        <v>0</v>
      </c>
      <c r="AH291" s="104" t="n">
        <f aca="false">IF(AND($P291="高",$AG291=0,OR($F291&lt;&gt;"原始數據",$T291&lt;&gt;1)),1,0)</f>
        <v>0</v>
      </c>
      <c r="AI291" s="53" t="str">
        <f aca="false">IF(AND($P291="高",ISNUMBER($AF291)),INDEX(IDX_SrcDate,$AF291),"—")</f>
        <v>—</v>
      </c>
      <c r="AJ291" s="104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6" t="s">
        <v>3894</v>
      </c>
      <c r="B292" s="215" t="s">
        <v>3183</v>
      </c>
      <c r="C292" s="36" t="s">
        <v>3834</v>
      </c>
      <c r="D292" s="36" t="s">
        <v>3075</v>
      </c>
      <c r="E292" s="19" t="s">
        <v>3891</v>
      </c>
      <c r="F292" s="36" t="s">
        <v>80</v>
      </c>
      <c r="G292" s="215" t="s">
        <v>3185</v>
      </c>
      <c r="H292" s="36" t="s">
        <v>587</v>
      </c>
      <c r="I292" s="6" t="s">
        <v>587</v>
      </c>
      <c r="J292" s="36" t="s">
        <v>587</v>
      </c>
      <c r="K292" s="217" t="n">
        <v>0</v>
      </c>
      <c r="L292" s="185" t="n">
        <f aca="false">MAX(1,Workload!E12*2)</f>
        <v>1</v>
      </c>
      <c r="M292" s="36" t="s">
        <v>3892</v>
      </c>
      <c r="N292" s="216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587</v>
      </c>
      <c r="P292" s="215" t="s">
        <v>3188</v>
      </c>
      <c r="Q292" s="183" t="n">
        <f aca="false">Workload!E12</f>
        <v>0</v>
      </c>
      <c r="R292" s="36" t="s">
        <v>587</v>
      </c>
      <c r="S292" s="35" t="str">
        <f aca="false">IF(ISNUMBER($AF292),INDEX(IDX_SrcStat,$AF292),"—")</f>
        <v>—</v>
      </c>
      <c r="T292" s="35" t="str">
        <f aca="false">IF(ISNUMBER($AF292),INDEX(IDX_SrcGrade,$AF292),"—")</f>
        <v>—</v>
      </c>
      <c r="U292" s="35" t="s">
        <v>3189</v>
      </c>
      <c r="V292" s="186" t="n">
        <f aca="false">IF(AND($F292="原始數據",$U292&lt;&gt;"連結 SRC"),1,0)</f>
        <v>0</v>
      </c>
      <c r="W292" s="186" t="n">
        <f aca="false">IF(AND($F292="Analogy",OR($H292="—",$H292="")),1,0)</f>
        <v>0</v>
      </c>
      <c r="X292" s="186" t="n">
        <f aca="false">IF(AND(OR($F292="Analogy",$F292="Assumed"),$G292&lt;&gt;"低",$G292&lt;&gt;"高",NOT(ISNUMBER($K292)),NOT(ISNUMBER($L292)),OR($M292="—",$M292="")),1,0)</f>
        <v>0</v>
      </c>
      <c r="Y292" s="186" t="n">
        <f aca="false">IF(AND(OR($F292="Analogy",$F292="Assumed",$F292="Derived（待改公式）",$F292="Derived（公式）"),OR($N292="—",$N292="",$N292=0)),1,0)</f>
        <v>0</v>
      </c>
      <c r="Z292" s="186" t="n">
        <f aca="false">IF(AND($F292="Decision",OR($J292="—",$J292="")),1,0)</f>
        <v>0</v>
      </c>
      <c r="AA292" s="183" t="n">
        <f aca="false">IF(OR($J292="—",$J292=""),0,IF(COUNTIF(Decisions!$A$5:$A$300,$J292)=0,1,0))</f>
        <v>0</v>
      </c>
      <c r="AB292" s="186" t="n">
        <f aca="false">IF(AND($F292="原始數據",$S292&lt;&gt;"Active"),1,0)</f>
        <v>0</v>
      </c>
      <c r="AC292" s="186" t="n">
        <f aca="false">IF(AND(ISNUMBER($K292),ISNUMBER($L292),ISNUMBER($Q292)),IF(OR($Q292&lt;MIN($K292,$L292),$Q292&gt;MAX($K292,$L292)),1,0),0)</f>
        <v>0</v>
      </c>
      <c r="AD292" s="186" t="n">
        <f aca="false">IF(AND(ISNUMBER($T292),$P292="高"),IF($T292=3,1,0),0)</f>
        <v>0</v>
      </c>
      <c r="AE292" s="186" t="n">
        <f aca="false">IF($S292="不存在",1,0)</f>
        <v>0</v>
      </c>
      <c r="AF292" s="35" t="str">
        <f aca="false">IF(OR($H292="—",$H292=""),"—",MATCH($H292,IDX_SrcID,0))</f>
        <v>—</v>
      </c>
      <c r="AG292" s="104" t="n">
        <f aca="false">IF(AND($P292="高",OR($AD292=1,$X292=1)),1,0)</f>
        <v>0</v>
      </c>
      <c r="AH292" s="104" t="n">
        <f aca="false">IF(AND($P292="高",$AG292=0,OR($F292&lt;&gt;"原始數據",$T292&lt;&gt;1)),1,0)</f>
        <v>0</v>
      </c>
      <c r="AI292" s="53" t="str">
        <f aca="false">IF(AND($P292="高",ISNUMBER($AF292)),INDEX(IDX_SrcDate,$AF292),"—")</f>
        <v>—</v>
      </c>
      <c r="AJ292" s="104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6" t="s">
        <v>3895</v>
      </c>
      <c r="B293" s="215" t="s">
        <v>3183</v>
      </c>
      <c r="C293" s="36" t="s">
        <v>3834</v>
      </c>
      <c r="D293" s="36" t="s">
        <v>3430</v>
      </c>
      <c r="E293" s="19" t="s">
        <v>3891</v>
      </c>
      <c r="F293" s="36" t="s">
        <v>80</v>
      </c>
      <c r="G293" s="215" t="s">
        <v>3185</v>
      </c>
      <c r="H293" s="36" t="s">
        <v>587</v>
      </c>
      <c r="I293" s="6" t="s">
        <v>587</v>
      </c>
      <c r="J293" s="36" t="s">
        <v>587</v>
      </c>
      <c r="K293" s="217" t="n">
        <v>0</v>
      </c>
      <c r="L293" s="185" t="n">
        <f aca="false">MAX(1,Workload!F12*2)</f>
        <v>6</v>
      </c>
      <c r="M293" s="36" t="s">
        <v>3892</v>
      </c>
      <c r="N293" s="216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587</v>
      </c>
      <c r="P293" s="215" t="s">
        <v>3188</v>
      </c>
      <c r="Q293" s="183" t="n">
        <f aca="false">Workload!F12</f>
        <v>3</v>
      </c>
      <c r="R293" s="36" t="s">
        <v>587</v>
      </c>
      <c r="S293" s="35" t="str">
        <f aca="false">IF(ISNUMBER($AF293),INDEX(IDX_SrcStat,$AF293),"—")</f>
        <v>—</v>
      </c>
      <c r="T293" s="35" t="str">
        <f aca="false">IF(ISNUMBER($AF293),INDEX(IDX_SrcGrade,$AF293),"—")</f>
        <v>—</v>
      </c>
      <c r="U293" s="35" t="s">
        <v>3189</v>
      </c>
      <c r="V293" s="186" t="n">
        <f aca="false">IF(AND($F293="原始數據",$U293&lt;&gt;"連結 SRC"),1,0)</f>
        <v>0</v>
      </c>
      <c r="W293" s="186" t="n">
        <f aca="false">IF(AND($F293="Analogy",OR($H293="—",$H293="")),1,0)</f>
        <v>0</v>
      </c>
      <c r="X293" s="186" t="n">
        <f aca="false">IF(AND(OR($F293="Analogy",$F293="Assumed"),$G293&lt;&gt;"低",$G293&lt;&gt;"高",NOT(ISNUMBER($K293)),NOT(ISNUMBER($L293)),OR($M293="—",$M293="")),1,0)</f>
        <v>0</v>
      </c>
      <c r="Y293" s="186" t="n">
        <f aca="false">IF(AND(OR($F293="Analogy",$F293="Assumed",$F293="Derived（待改公式）",$F293="Derived（公式）"),OR($N293="—",$N293="",$N293=0)),1,0)</f>
        <v>0</v>
      </c>
      <c r="Z293" s="186" t="n">
        <f aca="false">IF(AND($F293="Decision",OR($J293="—",$J293="")),1,0)</f>
        <v>0</v>
      </c>
      <c r="AA293" s="183" t="n">
        <f aca="false">IF(OR($J293="—",$J293=""),0,IF(COUNTIF(Decisions!$A$5:$A$300,$J293)=0,1,0))</f>
        <v>0</v>
      </c>
      <c r="AB293" s="186" t="n">
        <f aca="false">IF(AND($F293="原始數據",$S293&lt;&gt;"Active"),1,0)</f>
        <v>0</v>
      </c>
      <c r="AC293" s="186" t="n">
        <f aca="false">IF(AND(ISNUMBER($K293),ISNUMBER($L293),ISNUMBER($Q293)),IF(OR($Q293&lt;MIN($K293,$L293),$Q293&gt;MAX($K293,$L293)),1,0),0)</f>
        <v>0</v>
      </c>
      <c r="AD293" s="186" t="n">
        <f aca="false">IF(AND(ISNUMBER($T293),$P293="高"),IF($T293=3,1,0),0)</f>
        <v>0</v>
      </c>
      <c r="AE293" s="186" t="n">
        <f aca="false">IF($S293="不存在",1,0)</f>
        <v>0</v>
      </c>
      <c r="AF293" s="35" t="str">
        <f aca="false">IF(OR($H293="—",$H293=""),"—",MATCH($H293,IDX_SrcID,0))</f>
        <v>—</v>
      </c>
      <c r="AG293" s="104" t="n">
        <f aca="false">IF(AND($P293="高",OR($AD293=1,$X293=1)),1,0)</f>
        <v>0</v>
      </c>
      <c r="AH293" s="104" t="n">
        <f aca="false">IF(AND($P293="高",$AG293=0,OR($F293&lt;&gt;"原始數據",$T293&lt;&gt;1)),1,0)</f>
        <v>0</v>
      </c>
      <c r="AI293" s="53" t="str">
        <f aca="false">IF(AND($P293="高",ISNUMBER($AF293)),INDEX(IDX_SrcDate,$AF293),"—")</f>
        <v>—</v>
      </c>
      <c r="AJ293" s="104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6" t="s">
        <v>3896</v>
      </c>
      <c r="B294" s="215" t="s">
        <v>3183</v>
      </c>
      <c r="C294" s="36" t="s">
        <v>3834</v>
      </c>
      <c r="D294" s="36" t="s">
        <v>3435</v>
      </c>
      <c r="E294" s="19" t="s">
        <v>3891</v>
      </c>
      <c r="F294" s="36" t="s">
        <v>80</v>
      </c>
      <c r="G294" s="215" t="s">
        <v>3185</v>
      </c>
      <c r="H294" s="36" t="s">
        <v>587</v>
      </c>
      <c r="I294" s="6" t="s">
        <v>587</v>
      </c>
      <c r="J294" s="36" t="s">
        <v>587</v>
      </c>
      <c r="K294" s="217" t="n">
        <v>0</v>
      </c>
      <c r="L294" s="185" t="n">
        <f aca="false">MAX(1,Workload!G12*2)</f>
        <v>1</v>
      </c>
      <c r="M294" s="36" t="s">
        <v>3892</v>
      </c>
      <c r="N294" s="216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587</v>
      </c>
      <c r="P294" s="215" t="s">
        <v>1116</v>
      </c>
      <c r="Q294" s="183" t="n">
        <f aca="false">Workload!G12</f>
        <v>0</v>
      </c>
      <c r="R294" s="36" t="s">
        <v>587</v>
      </c>
      <c r="S294" s="35" t="str">
        <f aca="false">IF(ISNUMBER($AF294),INDEX(IDX_SrcStat,$AF294),"—")</f>
        <v>—</v>
      </c>
      <c r="T294" s="35" t="str">
        <f aca="false">IF(ISNUMBER($AF294),INDEX(IDX_SrcGrade,$AF294),"—")</f>
        <v>—</v>
      </c>
      <c r="U294" s="35" t="s">
        <v>3189</v>
      </c>
      <c r="V294" s="186" t="n">
        <f aca="false">IF(AND($F294="原始數據",$U294&lt;&gt;"連結 SRC"),1,0)</f>
        <v>0</v>
      </c>
      <c r="W294" s="186" t="n">
        <f aca="false">IF(AND($F294="Analogy",OR($H294="—",$H294="")),1,0)</f>
        <v>0</v>
      </c>
      <c r="X294" s="186" t="n">
        <f aca="false">IF(AND(OR($F294="Analogy",$F294="Assumed"),$G294&lt;&gt;"低",$G294&lt;&gt;"高",NOT(ISNUMBER($K294)),NOT(ISNUMBER($L294)),OR($M294="—",$M294="")),1,0)</f>
        <v>0</v>
      </c>
      <c r="Y294" s="186" t="n">
        <f aca="false">IF(AND(OR($F294="Analogy",$F294="Assumed",$F294="Derived（待改公式）",$F294="Derived（公式）"),OR($N294="—",$N294="",$N294=0)),1,0)</f>
        <v>0</v>
      </c>
      <c r="Z294" s="186" t="n">
        <f aca="false">IF(AND($F294="Decision",OR($J294="—",$J294="")),1,0)</f>
        <v>0</v>
      </c>
      <c r="AA294" s="183" t="n">
        <f aca="false">IF(OR($J294="—",$J294=""),0,IF(COUNTIF(Decisions!$A$5:$A$300,$J294)=0,1,0))</f>
        <v>0</v>
      </c>
      <c r="AB294" s="186" t="n">
        <f aca="false">IF(AND($F294="原始數據",$S294&lt;&gt;"Active"),1,0)</f>
        <v>0</v>
      </c>
      <c r="AC294" s="186" t="n">
        <f aca="false">IF(AND(ISNUMBER($K294),ISNUMBER($L294),ISNUMBER($Q294)),IF(OR($Q294&lt;MIN($K294,$L294),$Q294&gt;MAX($K294,$L294)),1,0),0)</f>
        <v>0</v>
      </c>
      <c r="AD294" s="186" t="n">
        <f aca="false">IF(AND(ISNUMBER($T294),$P294="高"),IF($T294=3,1,0),0)</f>
        <v>0</v>
      </c>
      <c r="AE294" s="186" t="n">
        <f aca="false">IF($S294="不存在",1,0)</f>
        <v>0</v>
      </c>
      <c r="AF294" s="35" t="str">
        <f aca="false">IF(OR($H294="—",$H294=""),"—",MATCH($H294,IDX_SrcID,0))</f>
        <v>—</v>
      </c>
      <c r="AG294" s="104" t="n">
        <f aca="false">IF(AND($P294="高",OR($AD294=1,$X294=1)),1,0)</f>
        <v>0</v>
      </c>
      <c r="AH294" s="104" t="n">
        <f aca="false">IF(AND($P294="高",$AG294=0,OR($F294&lt;&gt;"原始數據",$T294&lt;&gt;1)),1,0)</f>
        <v>1</v>
      </c>
      <c r="AI294" s="53" t="str">
        <f aca="false">IF(AND($P294="高",ISNUMBER($AF294)),INDEX(IDX_SrcDate,$AF294),"—")</f>
        <v>—</v>
      </c>
      <c r="AJ294" s="104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6" t="s">
        <v>3897</v>
      </c>
      <c r="B295" s="215" t="s">
        <v>3183</v>
      </c>
      <c r="C295" s="36" t="s">
        <v>3834</v>
      </c>
      <c r="D295" s="36" t="s">
        <v>3438</v>
      </c>
      <c r="E295" s="6" t="s">
        <v>371</v>
      </c>
      <c r="F295" s="36" t="s">
        <v>72</v>
      </c>
      <c r="G295" s="215" t="s">
        <v>3185</v>
      </c>
      <c r="H295" s="36" t="s">
        <v>587</v>
      </c>
      <c r="I295" s="6" t="s">
        <v>587</v>
      </c>
      <c r="J295" s="36" t="s">
        <v>3898</v>
      </c>
      <c r="K295" s="215"/>
      <c r="L295" s="215"/>
      <c r="M295" s="36" t="s">
        <v>587</v>
      </c>
      <c r="N295" s="6" t="s">
        <v>3899</v>
      </c>
      <c r="O295" s="6" t="s">
        <v>587</v>
      </c>
      <c r="P295" s="215" t="s">
        <v>1116</v>
      </c>
      <c r="Q295" s="175" t="n">
        <f aca="false">Workload!C13</f>
        <v>1</v>
      </c>
      <c r="R295" s="36" t="s">
        <v>587</v>
      </c>
      <c r="S295" s="35" t="str">
        <f aca="false">IF(ISNUMBER($AF295),INDEX(IDX_SrcStat,$AF295),"—")</f>
        <v>—</v>
      </c>
      <c r="T295" s="35" t="str">
        <f aca="false">IF(ISNUMBER($AF295),INDEX(IDX_SrcGrade,$AF295),"—")</f>
        <v>—</v>
      </c>
      <c r="U295" s="35" t="s">
        <v>3189</v>
      </c>
      <c r="V295" s="186" t="n">
        <f aca="false">IF(AND($F295="原始數據",$U295&lt;&gt;"連結 SRC"),1,0)</f>
        <v>0</v>
      </c>
      <c r="W295" s="186" t="n">
        <f aca="false">IF(AND($F295="Analogy",OR($H295="—",$H295="")),1,0)</f>
        <v>0</v>
      </c>
      <c r="X295" s="186" t="n">
        <f aca="false">IF(AND(OR($F295="Analogy",$F295="Assumed"),$G295&lt;&gt;"低",$G295&lt;&gt;"高",NOT(ISNUMBER($K295)),NOT(ISNUMBER($L295)),OR($M295="—",$M295="")),1,0)</f>
        <v>0</v>
      </c>
      <c r="Y295" s="186" t="n">
        <f aca="false">IF(AND(OR($F295="Analogy",$F295="Assumed",$F295="Derived（待改公式）",$F295="Derived（公式）"),OR($N295="—",$N295="",$N295=0)),1,0)</f>
        <v>0</v>
      </c>
      <c r="Z295" s="186" t="n">
        <f aca="false">IF(AND($F295="Decision",OR($J295="—",$J295="")),1,0)</f>
        <v>0</v>
      </c>
      <c r="AA295" s="183" t="n">
        <f aca="false">IF(OR($J295="—",$J295=""),0,IF(COUNTIF(Decisions!$A$5:$A$300,$J295)=0,1,0))</f>
        <v>0</v>
      </c>
      <c r="AB295" s="186" t="n">
        <f aca="false">IF(AND($F295="原始數據",$S295&lt;&gt;"Active"),1,0)</f>
        <v>0</v>
      </c>
      <c r="AC295" s="186" t="n">
        <f aca="false">IF(AND(ISNUMBER($K295),ISNUMBER($L295),ISNUMBER($Q295)),IF(OR($Q295&lt;MIN($K295,$L295),$Q295&gt;MAX($K295,$L295)),1,0),0)</f>
        <v>0</v>
      </c>
      <c r="AD295" s="186" t="n">
        <f aca="false">IF(AND(ISNUMBER($T295),$P295="高"),IF($T295=3,1,0),0)</f>
        <v>0</v>
      </c>
      <c r="AE295" s="186" t="n">
        <f aca="false">IF($S295="不存在",1,0)</f>
        <v>0</v>
      </c>
      <c r="AF295" s="35" t="str">
        <f aca="false">IF(OR($H295="—",$H295=""),"—",MATCH($H295,IDX_SrcID,0))</f>
        <v>—</v>
      </c>
      <c r="AG295" s="104" t="n">
        <f aca="false">IF(AND($P295="高",OR($AD295=1,$X295=1)),1,0)</f>
        <v>0</v>
      </c>
      <c r="AH295" s="104" t="n">
        <f aca="false">IF(AND($P295="高",$AG295=0,OR($F295&lt;&gt;"原始數據",$T295&lt;&gt;1)),1,0)</f>
        <v>1</v>
      </c>
      <c r="AI295" s="53" t="str">
        <f aca="false">IF(AND($P295="高",ISNUMBER($AF295)),INDEX(IDX_SrcDate,$AF295),"—")</f>
        <v>—</v>
      </c>
      <c r="AJ295" s="104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6" t="s">
        <v>3900</v>
      </c>
      <c r="B296" s="215" t="s">
        <v>3183</v>
      </c>
      <c r="C296" s="36" t="s">
        <v>3834</v>
      </c>
      <c r="D296" s="36" t="s">
        <v>3687</v>
      </c>
      <c r="E296" s="19" t="s">
        <v>3901</v>
      </c>
      <c r="F296" s="36" t="s">
        <v>72</v>
      </c>
      <c r="G296" s="215" t="s">
        <v>3185</v>
      </c>
      <c r="H296" s="36" t="s">
        <v>587</v>
      </c>
      <c r="I296" s="6" t="s">
        <v>587</v>
      </c>
      <c r="J296" s="36" t="s">
        <v>3902</v>
      </c>
      <c r="K296" s="215"/>
      <c r="L296" s="215"/>
      <c r="M296" s="36" t="s">
        <v>587</v>
      </c>
      <c r="N296" s="19" t="s">
        <v>3903</v>
      </c>
      <c r="O296" s="6" t="s">
        <v>587</v>
      </c>
      <c r="P296" s="215" t="s">
        <v>3244</v>
      </c>
      <c r="Q296" s="175" t="n">
        <f aca="false">Workload!C14</f>
        <v>1</v>
      </c>
      <c r="R296" s="36" t="s">
        <v>587</v>
      </c>
      <c r="S296" s="35" t="str">
        <f aca="false">IF(ISNUMBER($AF296),INDEX(IDX_SrcStat,$AF296),"—")</f>
        <v>—</v>
      </c>
      <c r="T296" s="35" t="str">
        <f aca="false">IF(ISNUMBER($AF296),INDEX(IDX_SrcGrade,$AF296),"—")</f>
        <v>—</v>
      </c>
      <c r="U296" s="35" t="s">
        <v>3189</v>
      </c>
      <c r="V296" s="186" t="n">
        <f aca="false">IF(AND($F296="原始數據",$U296&lt;&gt;"連結 SRC"),1,0)</f>
        <v>0</v>
      </c>
      <c r="W296" s="186" t="n">
        <f aca="false">IF(AND($F296="Analogy",OR($H296="—",$H296="")),1,0)</f>
        <v>0</v>
      </c>
      <c r="X296" s="186" t="n">
        <f aca="false">IF(AND(OR($F296="Analogy",$F296="Assumed"),$G296&lt;&gt;"低",$G296&lt;&gt;"高",NOT(ISNUMBER($K296)),NOT(ISNUMBER($L296)),OR($M296="—",$M296="")),1,0)</f>
        <v>0</v>
      </c>
      <c r="Y296" s="186" t="n">
        <f aca="false">IF(AND(OR($F296="Analogy",$F296="Assumed",$F296="Derived（待改公式）",$F296="Derived（公式）"),OR($N296="—",$N296="",$N296=0)),1,0)</f>
        <v>0</v>
      </c>
      <c r="Z296" s="186" t="n">
        <f aca="false">IF(AND($F296="Decision",OR($J296="—",$J296="")),1,0)</f>
        <v>0</v>
      </c>
      <c r="AA296" s="183" t="n">
        <f aca="false">IF(OR($J296="—",$J296=""),0,IF(COUNTIF(Decisions!$A$5:$A$300,$J296)=0,1,0))</f>
        <v>0</v>
      </c>
      <c r="AB296" s="186" t="n">
        <f aca="false">IF(AND($F296="原始數據",$S296&lt;&gt;"Active"),1,0)</f>
        <v>0</v>
      </c>
      <c r="AC296" s="186" t="n">
        <f aca="false">IF(AND(ISNUMBER($K296),ISNUMBER($L296),ISNUMBER($Q296)),IF(OR($Q296&lt;MIN($K296,$L296),$Q296&gt;MAX($K296,$L296)),1,0),0)</f>
        <v>0</v>
      </c>
      <c r="AD296" s="186" t="n">
        <f aca="false">IF(AND(ISNUMBER($T296),$P296="高"),IF($T296=3,1,0),0)</f>
        <v>0</v>
      </c>
      <c r="AE296" s="186" t="n">
        <f aca="false">IF($S296="不存在",1,0)</f>
        <v>0</v>
      </c>
      <c r="AF296" s="35" t="str">
        <f aca="false">IF(OR($H296="—",$H296=""),"—",MATCH($H296,IDX_SrcID,0))</f>
        <v>—</v>
      </c>
      <c r="AG296" s="104" t="n">
        <f aca="false">IF(AND($P296="高",OR($AD296=1,$X296=1)),1,0)</f>
        <v>0</v>
      </c>
      <c r="AH296" s="104" t="n">
        <f aca="false">IF(AND($P296="高",$AG296=0,OR($F296&lt;&gt;"原始數據",$T296&lt;&gt;1)),1,0)</f>
        <v>0</v>
      </c>
      <c r="AI296" s="53" t="str">
        <f aca="false">IF(AND($P296="高",ISNUMBER($AF296)),INDEX(IDX_SrcDate,$AF296),"—")</f>
        <v>—</v>
      </c>
      <c r="AJ296" s="104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6" t="s">
        <v>3904</v>
      </c>
      <c r="B297" s="215" t="s">
        <v>3183</v>
      </c>
      <c r="C297" s="36" t="s">
        <v>3834</v>
      </c>
      <c r="D297" s="36" t="s">
        <v>3216</v>
      </c>
      <c r="E297" s="6" t="s">
        <v>371</v>
      </c>
      <c r="F297" s="36" t="s">
        <v>72</v>
      </c>
      <c r="G297" s="215" t="s">
        <v>3185</v>
      </c>
      <c r="H297" s="36" t="s">
        <v>587</v>
      </c>
      <c r="I297" s="6" t="s">
        <v>587</v>
      </c>
      <c r="J297" s="36" t="s">
        <v>3898</v>
      </c>
      <c r="K297" s="215"/>
      <c r="L297" s="215"/>
      <c r="M297" s="36" t="s">
        <v>587</v>
      </c>
      <c r="N297" s="6" t="s">
        <v>3899</v>
      </c>
      <c r="O297" s="6" t="s">
        <v>587</v>
      </c>
      <c r="P297" s="215" t="s">
        <v>1116</v>
      </c>
      <c r="Q297" s="175" t="n">
        <f aca="false">Workload!D13</f>
        <v>1</v>
      </c>
      <c r="R297" s="36" t="s">
        <v>587</v>
      </c>
      <c r="S297" s="35" t="str">
        <f aca="false">IF(ISNUMBER($AF297),INDEX(IDX_SrcStat,$AF297),"—")</f>
        <v>—</v>
      </c>
      <c r="T297" s="35" t="str">
        <f aca="false">IF(ISNUMBER($AF297),INDEX(IDX_SrcGrade,$AF297),"—")</f>
        <v>—</v>
      </c>
      <c r="U297" s="35" t="s">
        <v>3189</v>
      </c>
      <c r="V297" s="186" t="n">
        <f aca="false">IF(AND($F297="原始數據",$U297&lt;&gt;"連結 SRC"),1,0)</f>
        <v>0</v>
      </c>
      <c r="W297" s="186" t="n">
        <f aca="false">IF(AND($F297="Analogy",OR($H297="—",$H297="")),1,0)</f>
        <v>0</v>
      </c>
      <c r="X297" s="186" t="n">
        <f aca="false">IF(AND(OR($F297="Analogy",$F297="Assumed"),$G297&lt;&gt;"低",$G297&lt;&gt;"高",NOT(ISNUMBER($K297)),NOT(ISNUMBER($L297)),OR($M297="—",$M297="")),1,0)</f>
        <v>0</v>
      </c>
      <c r="Y297" s="186" t="n">
        <f aca="false">IF(AND(OR($F297="Analogy",$F297="Assumed",$F297="Derived（待改公式）",$F297="Derived（公式）"),OR($N297="—",$N297="",$N297=0)),1,0)</f>
        <v>0</v>
      </c>
      <c r="Z297" s="186" t="n">
        <f aca="false">IF(AND($F297="Decision",OR($J297="—",$J297="")),1,0)</f>
        <v>0</v>
      </c>
      <c r="AA297" s="183" t="n">
        <f aca="false">IF(OR($J297="—",$J297=""),0,IF(COUNTIF(Decisions!$A$5:$A$300,$J297)=0,1,0))</f>
        <v>0</v>
      </c>
      <c r="AB297" s="186" t="n">
        <f aca="false">IF(AND($F297="原始數據",$S297&lt;&gt;"Active"),1,0)</f>
        <v>0</v>
      </c>
      <c r="AC297" s="186" t="n">
        <f aca="false">IF(AND(ISNUMBER($K297),ISNUMBER($L297),ISNUMBER($Q297)),IF(OR($Q297&lt;MIN($K297,$L297),$Q297&gt;MAX($K297,$L297)),1,0),0)</f>
        <v>0</v>
      </c>
      <c r="AD297" s="186" t="n">
        <f aca="false">IF(AND(ISNUMBER($T297),$P297="高"),IF($T297=3,1,0),0)</f>
        <v>0</v>
      </c>
      <c r="AE297" s="186" t="n">
        <f aca="false">IF($S297="不存在",1,0)</f>
        <v>0</v>
      </c>
      <c r="AF297" s="35" t="str">
        <f aca="false">IF(OR($H297="—",$H297=""),"—",MATCH($H297,IDX_SrcID,0))</f>
        <v>—</v>
      </c>
      <c r="AG297" s="104" t="n">
        <f aca="false">IF(AND($P297="高",OR($AD297=1,$X297=1)),1,0)</f>
        <v>0</v>
      </c>
      <c r="AH297" s="104" t="n">
        <f aca="false">IF(AND($P297="高",$AG297=0,OR($F297&lt;&gt;"原始數據",$T297&lt;&gt;1)),1,0)</f>
        <v>1</v>
      </c>
      <c r="AI297" s="53" t="str">
        <f aca="false">IF(AND($P297="高",ISNUMBER($AF297)),INDEX(IDX_SrcDate,$AF297),"—")</f>
        <v>—</v>
      </c>
      <c r="AJ297" s="104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6" t="s">
        <v>3905</v>
      </c>
      <c r="B298" s="215" t="s">
        <v>3183</v>
      </c>
      <c r="C298" s="36" t="s">
        <v>3834</v>
      </c>
      <c r="D298" s="36" t="s">
        <v>3226</v>
      </c>
      <c r="E298" s="19" t="s">
        <v>3901</v>
      </c>
      <c r="F298" s="36" t="s">
        <v>72</v>
      </c>
      <c r="G298" s="215" t="s">
        <v>3185</v>
      </c>
      <c r="H298" s="36" t="s">
        <v>587</v>
      </c>
      <c r="I298" s="6" t="s">
        <v>587</v>
      </c>
      <c r="J298" s="36" t="s">
        <v>3902</v>
      </c>
      <c r="K298" s="215"/>
      <c r="L298" s="215"/>
      <c r="M298" s="36" t="s">
        <v>587</v>
      </c>
      <c r="N298" s="19" t="s">
        <v>3903</v>
      </c>
      <c r="O298" s="6" t="s">
        <v>587</v>
      </c>
      <c r="P298" s="215" t="s">
        <v>3244</v>
      </c>
      <c r="Q298" s="175" t="n">
        <f aca="false">Workload!D14</f>
        <v>1</v>
      </c>
      <c r="R298" s="36" t="s">
        <v>587</v>
      </c>
      <c r="S298" s="35" t="str">
        <f aca="false">IF(ISNUMBER($AF298),INDEX(IDX_SrcStat,$AF298),"—")</f>
        <v>—</v>
      </c>
      <c r="T298" s="35" t="str">
        <f aca="false">IF(ISNUMBER($AF298),INDEX(IDX_SrcGrade,$AF298),"—")</f>
        <v>—</v>
      </c>
      <c r="U298" s="35" t="s">
        <v>3189</v>
      </c>
      <c r="V298" s="186" t="n">
        <f aca="false">IF(AND($F298="原始數據",$U298&lt;&gt;"連結 SRC"),1,0)</f>
        <v>0</v>
      </c>
      <c r="W298" s="186" t="n">
        <f aca="false">IF(AND($F298="Analogy",OR($H298="—",$H298="")),1,0)</f>
        <v>0</v>
      </c>
      <c r="X298" s="186" t="n">
        <f aca="false">IF(AND(OR($F298="Analogy",$F298="Assumed"),$G298&lt;&gt;"低",$G298&lt;&gt;"高",NOT(ISNUMBER($K298)),NOT(ISNUMBER($L298)),OR($M298="—",$M298="")),1,0)</f>
        <v>0</v>
      </c>
      <c r="Y298" s="186" t="n">
        <f aca="false">IF(AND(OR($F298="Analogy",$F298="Assumed",$F298="Derived（待改公式）",$F298="Derived（公式）"),OR($N298="—",$N298="",$N298=0)),1,0)</f>
        <v>0</v>
      </c>
      <c r="Z298" s="186" t="n">
        <f aca="false">IF(AND($F298="Decision",OR($J298="—",$J298="")),1,0)</f>
        <v>0</v>
      </c>
      <c r="AA298" s="183" t="n">
        <f aca="false">IF(OR($J298="—",$J298=""),0,IF(COUNTIF(Decisions!$A$5:$A$300,$J298)=0,1,0))</f>
        <v>0</v>
      </c>
      <c r="AB298" s="186" t="n">
        <f aca="false">IF(AND($F298="原始數據",$S298&lt;&gt;"Active"),1,0)</f>
        <v>0</v>
      </c>
      <c r="AC298" s="186" t="n">
        <f aca="false">IF(AND(ISNUMBER($K298),ISNUMBER($L298),ISNUMBER($Q298)),IF(OR($Q298&lt;MIN($K298,$L298),$Q298&gt;MAX($K298,$L298)),1,0),0)</f>
        <v>0</v>
      </c>
      <c r="AD298" s="186" t="n">
        <f aca="false">IF(AND(ISNUMBER($T298),$P298="高"),IF($T298=3,1,0),0)</f>
        <v>0</v>
      </c>
      <c r="AE298" s="186" t="n">
        <f aca="false">IF($S298="不存在",1,0)</f>
        <v>0</v>
      </c>
      <c r="AF298" s="35" t="str">
        <f aca="false">IF(OR($H298="—",$H298=""),"—",MATCH($H298,IDX_SrcID,0))</f>
        <v>—</v>
      </c>
      <c r="AG298" s="104" t="n">
        <f aca="false">IF(AND($P298="高",OR($AD298=1,$X298=1)),1,0)</f>
        <v>0</v>
      </c>
      <c r="AH298" s="104" t="n">
        <f aca="false">IF(AND($P298="高",$AG298=0,OR($F298&lt;&gt;"原始數據",$T298&lt;&gt;1)),1,0)</f>
        <v>0</v>
      </c>
      <c r="AI298" s="53" t="str">
        <f aca="false">IF(AND($P298="高",ISNUMBER($AF298)),INDEX(IDX_SrcDate,$AF298),"—")</f>
        <v>—</v>
      </c>
      <c r="AJ298" s="104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6" t="s">
        <v>3906</v>
      </c>
      <c r="B299" s="215" t="s">
        <v>3183</v>
      </c>
      <c r="C299" s="36" t="s">
        <v>3834</v>
      </c>
      <c r="D299" s="36" t="s">
        <v>3077</v>
      </c>
      <c r="E299" s="6" t="s">
        <v>371</v>
      </c>
      <c r="F299" s="36" t="s">
        <v>72</v>
      </c>
      <c r="G299" s="215" t="s">
        <v>3185</v>
      </c>
      <c r="H299" s="36" t="s">
        <v>587</v>
      </c>
      <c r="I299" s="6" t="s">
        <v>587</v>
      </c>
      <c r="J299" s="36" t="s">
        <v>3898</v>
      </c>
      <c r="K299" s="215"/>
      <c r="L299" s="215"/>
      <c r="M299" s="36" t="s">
        <v>587</v>
      </c>
      <c r="N299" s="6" t="s">
        <v>3899</v>
      </c>
      <c r="O299" s="6" t="s">
        <v>587</v>
      </c>
      <c r="P299" s="215" t="s">
        <v>1116</v>
      </c>
      <c r="Q299" s="175" t="n">
        <f aca="false">Workload!E13</f>
        <v>1</v>
      </c>
      <c r="R299" s="36" t="s">
        <v>587</v>
      </c>
      <c r="S299" s="35" t="str">
        <f aca="false">IF(ISNUMBER($AF299),INDEX(IDX_SrcStat,$AF299),"—")</f>
        <v>—</v>
      </c>
      <c r="T299" s="35" t="str">
        <f aca="false">IF(ISNUMBER($AF299),INDEX(IDX_SrcGrade,$AF299),"—")</f>
        <v>—</v>
      </c>
      <c r="U299" s="35" t="s">
        <v>3189</v>
      </c>
      <c r="V299" s="186" t="n">
        <f aca="false">IF(AND($F299="原始數據",$U299&lt;&gt;"連結 SRC"),1,0)</f>
        <v>0</v>
      </c>
      <c r="W299" s="186" t="n">
        <f aca="false">IF(AND($F299="Analogy",OR($H299="—",$H299="")),1,0)</f>
        <v>0</v>
      </c>
      <c r="X299" s="186" t="n">
        <f aca="false">IF(AND(OR($F299="Analogy",$F299="Assumed"),$G299&lt;&gt;"低",$G299&lt;&gt;"高",NOT(ISNUMBER($K299)),NOT(ISNUMBER($L299)),OR($M299="—",$M299="")),1,0)</f>
        <v>0</v>
      </c>
      <c r="Y299" s="186" t="n">
        <f aca="false">IF(AND(OR($F299="Analogy",$F299="Assumed",$F299="Derived（待改公式）",$F299="Derived（公式）"),OR($N299="—",$N299="",$N299=0)),1,0)</f>
        <v>0</v>
      </c>
      <c r="Z299" s="186" t="n">
        <f aca="false">IF(AND($F299="Decision",OR($J299="—",$J299="")),1,0)</f>
        <v>0</v>
      </c>
      <c r="AA299" s="183" t="n">
        <f aca="false">IF(OR($J299="—",$J299=""),0,IF(COUNTIF(Decisions!$A$5:$A$300,$J299)=0,1,0))</f>
        <v>0</v>
      </c>
      <c r="AB299" s="186" t="n">
        <f aca="false">IF(AND($F299="原始數據",$S299&lt;&gt;"Active"),1,0)</f>
        <v>0</v>
      </c>
      <c r="AC299" s="186" t="n">
        <f aca="false">IF(AND(ISNUMBER($K299),ISNUMBER($L299),ISNUMBER($Q299)),IF(OR($Q299&lt;MIN($K299,$L299),$Q299&gt;MAX($K299,$L299)),1,0),0)</f>
        <v>0</v>
      </c>
      <c r="AD299" s="186" t="n">
        <f aca="false">IF(AND(ISNUMBER($T299),$P299="高"),IF($T299=3,1,0),0)</f>
        <v>0</v>
      </c>
      <c r="AE299" s="186" t="n">
        <f aca="false">IF($S299="不存在",1,0)</f>
        <v>0</v>
      </c>
      <c r="AF299" s="35" t="str">
        <f aca="false">IF(OR($H299="—",$H299=""),"—",MATCH($H299,IDX_SrcID,0))</f>
        <v>—</v>
      </c>
      <c r="AG299" s="104" t="n">
        <f aca="false">IF(AND($P299="高",OR($AD299=1,$X299=1)),1,0)</f>
        <v>0</v>
      </c>
      <c r="AH299" s="104" t="n">
        <f aca="false">IF(AND($P299="高",$AG299=0,OR($F299&lt;&gt;"原始數據",$T299&lt;&gt;1)),1,0)</f>
        <v>1</v>
      </c>
      <c r="AI299" s="53" t="str">
        <f aca="false">IF(AND($P299="高",ISNUMBER($AF299)),INDEX(IDX_SrcDate,$AF299),"—")</f>
        <v>—</v>
      </c>
      <c r="AJ299" s="104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6" t="s">
        <v>3907</v>
      </c>
      <c r="B300" s="215" t="s">
        <v>3183</v>
      </c>
      <c r="C300" s="36" t="s">
        <v>3834</v>
      </c>
      <c r="D300" s="36" t="s">
        <v>3224</v>
      </c>
      <c r="E300" s="19" t="s">
        <v>3901</v>
      </c>
      <c r="F300" s="36" t="s">
        <v>72</v>
      </c>
      <c r="G300" s="215" t="s">
        <v>3185</v>
      </c>
      <c r="H300" s="36" t="s">
        <v>587</v>
      </c>
      <c r="I300" s="6" t="s">
        <v>587</v>
      </c>
      <c r="J300" s="36" t="s">
        <v>3902</v>
      </c>
      <c r="K300" s="215"/>
      <c r="L300" s="215"/>
      <c r="M300" s="36" t="s">
        <v>587</v>
      </c>
      <c r="N300" s="19" t="s">
        <v>3903</v>
      </c>
      <c r="O300" s="6" t="s">
        <v>587</v>
      </c>
      <c r="P300" s="215" t="s">
        <v>3244</v>
      </c>
      <c r="Q300" s="175" t="n">
        <f aca="false">Workload!E14</f>
        <v>1</v>
      </c>
      <c r="R300" s="36" t="s">
        <v>587</v>
      </c>
      <c r="S300" s="35" t="str">
        <f aca="false">IF(ISNUMBER($AF300),INDEX(IDX_SrcStat,$AF300),"—")</f>
        <v>—</v>
      </c>
      <c r="T300" s="35" t="str">
        <f aca="false">IF(ISNUMBER($AF300),INDEX(IDX_SrcGrade,$AF300),"—")</f>
        <v>—</v>
      </c>
      <c r="U300" s="35" t="s">
        <v>3189</v>
      </c>
      <c r="V300" s="186" t="n">
        <f aca="false">IF(AND($F300="原始數據",$U300&lt;&gt;"連結 SRC"),1,0)</f>
        <v>0</v>
      </c>
      <c r="W300" s="186" t="n">
        <f aca="false">IF(AND($F300="Analogy",OR($H300="—",$H300="")),1,0)</f>
        <v>0</v>
      </c>
      <c r="X300" s="186" t="n">
        <f aca="false">IF(AND(OR($F300="Analogy",$F300="Assumed"),$G300&lt;&gt;"低",$G300&lt;&gt;"高",NOT(ISNUMBER($K300)),NOT(ISNUMBER($L300)),OR($M300="—",$M300="")),1,0)</f>
        <v>0</v>
      </c>
      <c r="Y300" s="186" t="n">
        <f aca="false">IF(AND(OR($F300="Analogy",$F300="Assumed",$F300="Derived（待改公式）",$F300="Derived（公式）"),OR($N300="—",$N300="",$N300=0)),1,0)</f>
        <v>0</v>
      </c>
      <c r="Z300" s="186" t="n">
        <f aca="false">IF(AND($F300="Decision",OR($J300="—",$J300="")),1,0)</f>
        <v>0</v>
      </c>
      <c r="AA300" s="183" t="n">
        <f aca="false">IF(OR($J300="—",$J300=""),0,IF(COUNTIF(Decisions!$A$5:$A$300,$J300)=0,1,0))</f>
        <v>0</v>
      </c>
      <c r="AB300" s="186" t="n">
        <f aca="false">IF(AND($F300="原始數據",$S300&lt;&gt;"Active"),1,0)</f>
        <v>0</v>
      </c>
      <c r="AC300" s="186" t="n">
        <f aca="false">IF(AND(ISNUMBER($K300),ISNUMBER($L300),ISNUMBER($Q300)),IF(OR($Q300&lt;MIN($K300,$L300),$Q300&gt;MAX($K300,$L300)),1,0),0)</f>
        <v>0</v>
      </c>
      <c r="AD300" s="186" t="n">
        <f aca="false">IF(AND(ISNUMBER($T300),$P300="高"),IF($T300=3,1,0),0)</f>
        <v>0</v>
      </c>
      <c r="AE300" s="186" t="n">
        <f aca="false">IF($S300="不存在",1,0)</f>
        <v>0</v>
      </c>
      <c r="AF300" s="35" t="str">
        <f aca="false">IF(OR($H300="—",$H300=""),"—",MATCH($H300,IDX_SrcID,0))</f>
        <v>—</v>
      </c>
      <c r="AG300" s="104" t="n">
        <f aca="false">IF(AND($P300="高",OR($AD300=1,$X300=1)),1,0)</f>
        <v>0</v>
      </c>
      <c r="AH300" s="104" t="n">
        <f aca="false">IF(AND($P300="高",$AG300=0,OR($F300&lt;&gt;"原始數據",$T300&lt;&gt;1)),1,0)</f>
        <v>0</v>
      </c>
      <c r="AI300" s="53" t="str">
        <f aca="false">IF(AND($P300="高",ISNUMBER($AF300)),INDEX(IDX_SrcDate,$AF300),"—")</f>
        <v>—</v>
      </c>
      <c r="AJ300" s="104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6" t="s">
        <v>3908</v>
      </c>
      <c r="B301" s="215" t="s">
        <v>3183</v>
      </c>
      <c r="C301" s="36" t="s">
        <v>3834</v>
      </c>
      <c r="D301" s="36" t="s">
        <v>3218</v>
      </c>
      <c r="E301" s="6" t="s">
        <v>371</v>
      </c>
      <c r="F301" s="36" t="s">
        <v>72</v>
      </c>
      <c r="G301" s="215" t="s">
        <v>3185</v>
      </c>
      <c r="H301" s="36" t="s">
        <v>587</v>
      </c>
      <c r="I301" s="6" t="s">
        <v>587</v>
      </c>
      <c r="J301" s="36" t="s">
        <v>3898</v>
      </c>
      <c r="K301" s="215"/>
      <c r="L301" s="215"/>
      <c r="M301" s="36" t="s">
        <v>587</v>
      </c>
      <c r="N301" s="6" t="s">
        <v>3899</v>
      </c>
      <c r="O301" s="6" t="s">
        <v>587</v>
      </c>
      <c r="P301" s="215" t="s">
        <v>1116</v>
      </c>
      <c r="Q301" s="175" t="n">
        <f aca="false">Workload!F13</f>
        <v>1</v>
      </c>
      <c r="R301" s="36" t="s">
        <v>587</v>
      </c>
      <c r="S301" s="35" t="str">
        <f aca="false">IF(ISNUMBER($AF301),INDEX(IDX_SrcStat,$AF301),"—")</f>
        <v>—</v>
      </c>
      <c r="T301" s="35" t="str">
        <f aca="false">IF(ISNUMBER($AF301),INDEX(IDX_SrcGrade,$AF301),"—")</f>
        <v>—</v>
      </c>
      <c r="U301" s="35" t="s">
        <v>3189</v>
      </c>
      <c r="V301" s="186" t="n">
        <f aca="false">IF(AND($F301="原始數據",$U301&lt;&gt;"連結 SRC"),1,0)</f>
        <v>0</v>
      </c>
      <c r="W301" s="186" t="n">
        <f aca="false">IF(AND($F301="Analogy",OR($H301="—",$H301="")),1,0)</f>
        <v>0</v>
      </c>
      <c r="X301" s="186" t="n">
        <f aca="false">IF(AND(OR($F301="Analogy",$F301="Assumed"),$G301&lt;&gt;"低",$G301&lt;&gt;"高",NOT(ISNUMBER($K301)),NOT(ISNUMBER($L301)),OR($M301="—",$M301="")),1,0)</f>
        <v>0</v>
      </c>
      <c r="Y301" s="186" t="n">
        <f aca="false">IF(AND(OR($F301="Analogy",$F301="Assumed",$F301="Derived（待改公式）",$F301="Derived（公式）"),OR($N301="—",$N301="",$N301=0)),1,0)</f>
        <v>0</v>
      </c>
      <c r="Z301" s="186" t="n">
        <f aca="false">IF(AND($F301="Decision",OR($J301="—",$J301="")),1,0)</f>
        <v>0</v>
      </c>
      <c r="AA301" s="183" t="n">
        <f aca="false">IF(OR($J301="—",$J301=""),0,IF(COUNTIF(Decisions!$A$5:$A$300,$J301)=0,1,0))</f>
        <v>0</v>
      </c>
      <c r="AB301" s="186" t="n">
        <f aca="false">IF(AND($F301="原始數據",$S301&lt;&gt;"Active"),1,0)</f>
        <v>0</v>
      </c>
      <c r="AC301" s="186" t="n">
        <f aca="false">IF(AND(ISNUMBER($K301),ISNUMBER($L301),ISNUMBER($Q301)),IF(OR($Q301&lt;MIN($K301,$L301),$Q301&gt;MAX($K301,$L301)),1,0),0)</f>
        <v>0</v>
      </c>
      <c r="AD301" s="186" t="n">
        <f aca="false">IF(AND(ISNUMBER($T301),$P301="高"),IF($T301=3,1,0),0)</f>
        <v>0</v>
      </c>
      <c r="AE301" s="186" t="n">
        <f aca="false">IF($S301="不存在",1,0)</f>
        <v>0</v>
      </c>
      <c r="AF301" s="35" t="str">
        <f aca="false">IF(OR($H301="—",$H301=""),"—",MATCH($H301,IDX_SrcID,0))</f>
        <v>—</v>
      </c>
      <c r="AG301" s="104" t="n">
        <f aca="false">IF(AND($P301="高",OR($AD301=1,$X301=1)),1,0)</f>
        <v>0</v>
      </c>
      <c r="AH301" s="104" t="n">
        <f aca="false">IF(AND($P301="高",$AG301=0,OR($F301&lt;&gt;"原始數據",$T301&lt;&gt;1)),1,0)</f>
        <v>1</v>
      </c>
      <c r="AI301" s="53" t="str">
        <f aca="false">IF(AND($P301="高",ISNUMBER($AF301)),INDEX(IDX_SrcDate,$AF301),"—")</f>
        <v>—</v>
      </c>
      <c r="AJ301" s="104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6" t="s">
        <v>3909</v>
      </c>
      <c r="B302" s="215" t="s">
        <v>3183</v>
      </c>
      <c r="C302" s="36" t="s">
        <v>3834</v>
      </c>
      <c r="D302" s="36" t="s">
        <v>3228</v>
      </c>
      <c r="E302" s="19" t="s">
        <v>3901</v>
      </c>
      <c r="F302" s="36" t="s">
        <v>72</v>
      </c>
      <c r="G302" s="215" t="s">
        <v>3185</v>
      </c>
      <c r="H302" s="36" t="s">
        <v>587</v>
      </c>
      <c r="I302" s="6" t="s">
        <v>587</v>
      </c>
      <c r="J302" s="36" t="s">
        <v>3902</v>
      </c>
      <c r="K302" s="215"/>
      <c r="L302" s="215"/>
      <c r="M302" s="36" t="s">
        <v>587</v>
      </c>
      <c r="N302" s="19" t="s">
        <v>3903</v>
      </c>
      <c r="O302" s="6" t="s">
        <v>587</v>
      </c>
      <c r="P302" s="215" t="s">
        <v>3244</v>
      </c>
      <c r="Q302" s="175" t="n">
        <f aca="false">Workload!F14</f>
        <v>1</v>
      </c>
      <c r="R302" s="36" t="s">
        <v>587</v>
      </c>
      <c r="S302" s="35" t="str">
        <f aca="false">IF(ISNUMBER($AF302),INDEX(IDX_SrcStat,$AF302),"—")</f>
        <v>—</v>
      </c>
      <c r="T302" s="35" t="str">
        <f aca="false">IF(ISNUMBER($AF302),INDEX(IDX_SrcGrade,$AF302),"—")</f>
        <v>—</v>
      </c>
      <c r="U302" s="35" t="s">
        <v>3189</v>
      </c>
      <c r="V302" s="186" t="n">
        <f aca="false">IF(AND($F302="原始數據",$U302&lt;&gt;"連結 SRC"),1,0)</f>
        <v>0</v>
      </c>
      <c r="W302" s="186" t="n">
        <f aca="false">IF(AND($F302="Analogy",OR($H302="—",$H302="")),1,0)</f>
        <v>0</v>
      </c>
      <c r="X302" s="186" t="n">
        <f aca="false">IF(AND(OR($F302="Analogy",$F302="Assumed"),$G302&lt;&gt;"低",$G302&lt;&gt;"高",NOT(ISNUMBER($K302)),NOT(ISNUMBER($L302)),OR($M302="—",$M302="")),1,0)</f>
        <v>0</v>
      </c>
      <c r="Y302" s="186" t="n">
        <f aca="false">IF(AND(OR($F302="Analogy",$F302="Assumed",$F302="Derived（待改公式）",$F302="Derived（公式）"),OR($N302="—",$N302="",$N302=0)),1,0)</f>
        <v>0</v>
      </c>
      <c r="Z302" s="186" t="n">
        <f aca="false">IF(AND($F302="Decision",OR($J302="—",$J302="")),1,0)</f>
        <v>0</v>
      </c>
      <c r="AA302" s="183" t="n">
        <f aca="false">IF(OR($J302="—",$J302=""),0,IF(COUNTIF(Decisions!$A$5:$A$300,$J302)=0,1,0))</f>
        <v>0</v>
      </c>
      <c r="AB302" s="186" t="n">
        <f aca="false">IF(AND($F302="原始數據",$S302&lt;&gt;"Active"),1,0)</f>
        <v>0</v>
      </c>
      <c r="AC302" s="186" t="n">
        <f aca="false">IF(AND(ISNUMBER($K302),ISNUMBER($L302),ISNUMBER($Q302)),IF(OR($Q302&lt;MIN($K302,$L302),$Q302&gt;MAX($K302,$L302)),1,0),0)</f>
        <v>0</v>
      </c>
      <c r="AD302" s="186" t="n">
        <f aca="false">IF(AND(ISNUMBER($T302),$P302="高"),IF($T302=3,1,0),0)</f>
        <v>0</v>
      </c>
      <c r="AE302" s="186" t="n">
        <f aca="false">IF($S302="不存在",1,0)</f>
        <v>0</v>
      </c>
      <c r="AF302" s="35" t="str">
        <f aca="false">IF(OR($H302="—",$H302=""),"—",MATCH($H302,IDX_SrcID,0))</f>
        <v>—</v>
      </c>
      <c r="AG302" s="104" t="n">
        <f aca="false">IF(AND($P302="高",OR($AD302=1,$X302=1)),1,0)</f>
        <v>0</v>
      </c>
      <c r="AH302" s="104" t="n">
        <f aca="false">IF(AND($P302="高",$AG302=0,OR($F302&lt;&gt;"原始數據",$T302&lt;&gt;1)),1,0)</f>
        <v>0</v>
      </c>
      <c r="AI302" s="53" t="str">
        <f aca="false">IF(AND($P302="高",ISNUMBER($AF302)),INDEX(IDX_SrcDate,$AF302),"—")</f>
        <v>—</v>
      </c>
      <c r="AJ302" s="104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6" t="s">
        <v>3910</v>
      </c>
      <c r="B303" s="215" t="s">
        <v>3183</v>
      </c>
      <c r="C303" s="36" t="s">
        <v>3834</v>
      </c>
      <c r="D303" s="36" t="s">
        <v>3449</v>
      </c>
      <c r="E303" s="6" t="s">
        <v>371</v>
      </c>
      <c r="F303" s="36" t="s">
        <v>72</v>
      </c>
      <c r="G303" s="215" t="s">
        <v>3185</v>
      </c>
      <c r="H303" s="36" t="s">
        <v>587</v>
      </c>
      <c r="I303" s="6" t="s">
        <v>587</v>
      </c>
      <c r="J303" s="36" t="s">
        <v>3898</v>
      </c>
      <c r="K303" s="215"/>
      <c r="L303" s="215"/>
      <c r="M303" s="36" t="s">
        <v>587</v>
      </c>
      <c r="N303" s="6" t="s">
        <v>3899</v>
      </c>
      <c r="O303" s="6" t="s">
        <v>587</v>
      </c>
      <c r="P303" s="215" t="s">
        <v>1116</v>
      </c>
      <c r="Q303" s="175" t="n">
        <f aca="false">Workload!G13</f>
        <v>1</v>
      </c>
      <c r="R303" s="36" t="s">
        <v>587</v>
      </c>
      <c r="S303" s="35" t="str">
        <f aca="false">IF(ISNUMBER($AF303),INDEX(IDX_SrcStat,$AF303),"—")</f>
        <v>—</v>
      </c>
      <c r="T303" s="35" t="str">
        <f aca="false">IF(ISNUMBER($AF303),INDEX(IDX_SrcGrade,$AF303),"—")</f>
        <v>—</v>
      </c>
      <c r="U303" s="35" t="s">
        <v>3189</v>
      </c>
      <c r="V303" s="186" t="n">
        <f aca="false">IF(AND($F303="原始數據",$U303&lt;&gt;"連結 SRC"),1,0)</f>
        <v>0</v>
      </c>
      <c r="W303" s="186" t="n">
        <f aca="false">IF(AND($F303="Analogy",OR($H303="—",$H303="")),1,0)</f>
        <v>0</v>
      </c>
      <c r="X303" s="186" t="n">
        <f aca="false">IF(AND(OR($F303="Analogy",$F303="Assumed"),$G303&lt;&gt;"低",$G303&lt;&gt;"高",NOT(ISNUMBER($K303)),NOT(ISNUMBER($L303)),OR($M303="—",$M303="")),1,0)</f>
        <v>0</v>
      </c>
      <c r="Y303" s="186" t="n">
        <f aca="false">IF(AND(OR($F303="Analogy",$F303="Assumed",$F303="Derived（待改公式）",$F303="Derived（公式）"),OR($N303="—",$N303="",$N303=0)),1,0)</f>
        <v>0</v>
      </c>
      <c r="Z303" s="186" t="n">
        <f aca="false">IF(AND($F303="Decision",OR($J303="—",$J303="")),1,0)</f>
        <v>0</v>
      </c>
      <c r="AA303" s="183" t="n">
        <f aca="false">IF(OR($J303="—",$J303=""),0,IF(COUNTIF(Decisions!$A$5:$A$300,$J303)=0,1,0))</f>
        <v>0</v>
      </c>
      <c r="AB303" s="186" t="n">
        <f aca="false">IF(AND($F303="原始數據",$S303&lt;&gt;"Active"),1,0)</f>
        <v>0</v>
      </c>
      <c r="AC303" s="186" t="n">
        <f aca="false">IF(AND(ISNUMBER($K303),ISNUMBER($L303),ISNUMBER($Q303)),IF(OR($Q303&lt;MIN($K303,$L303),$Q303&gt;MAX($K303,$L303)),1,0),0)</f>
        <v>0</v>
      </c>
      <c r="AD303" s="186" t="n">
        <f aca="false">IF(AND(ISNUMBER($T303),$P303="高"),IF($T303=3,1,0),0)</f>
        <v>0</v>
      </c>
      <c r="AE303" s="186" t="n">
        <f aca="false">IF($S303="不存在",1,0)</f>
        <v>0</v>
      </c>
      <c r="AF303" s="35" t="str">
        <f aca="false">IF(OR($H303="—",$H303=""),"—",MATCH($H303,IDX_SrcID,0))</f>
        <v>—</v>
      </c>
      <c r="AG303" s="104" t="n">
        <f aca="false">IF(AND($P303="高",OR($AD303=1,$X303=1)),1,0)</f>
        <v>0</v>
      </c>
      <c r="AH303" s="104" t="n">
        <f aca="false">IF(AND($P303="高",$AG303=0,OR($F303&lt;&gt;"原始數據",$T303&lt;&gt;1)),1,0)</f>
        <v>1</v>
      </c>
      <c r="AI303" s="53" t="str">
        <f aca="false">IF(AND($P303="高",ISNUMBER($AF303)),INDEX(IDX_SrcDate,$AF303),"—")</f>
        <v>—</v>
      </c>
      <c r="AJ303" s="104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6" t="s">
        <v>3911</v>
      </c>
      <c r="B304" s="215" t="s">
        <v>3183</v>
      </c>
      <c r="C304" s="36" t="s">
        <v>3834</v>
      </c>
      <c r="D304" s="36" t="s">
        <v>3912</v>
      </c>
      <c r="E304" s="19" t="s">
        <v>3901</v>
      </c>
      <c r="F304" s="36" t="s">
        <v>72</v>
      </c>
      <c r="G304" s="215" t="s">
        <v>3185</v>
      </c>
      <c r="H304" s="36" t="s">
        <v>587</v>
      </c>
      <c r="I304" s="6" t="s">
        <v>587</v>
      </c>
      <c r="J304" s="36" t="s">
        <v>3902</v>
      </c>
      <c r="K304" s="215"/>
      <c r="L304" s="215"/>
      <c r="M304" s="36" t="s">
        <v>587</v>
      </c>
      <c r="N304" s="19" t="s">
        <v>3903</v>
      </c>
      <c r="O304" s="6" t="s">
        <v>587</v>
      </c>
      <c r="P304" s="215" t="s">
        <v>3244</v>
      </c>
      <c r="Q304" s="175" t="n">
        <f aca="false">Workload!G14</f>
        <v>1</v>
      </c>
      <c r="R304" s="36" t="s">
        <v>587</v>
      </c>
      <c r="S304" s="35" t="str">
        <f aca="false">IF(ISNUMBER($AF304),INDEX(IDX_SrcStat,$AF304),"—")</f>
        <v>—</v>
      </c>
      <c r="T304" s="35" t="str">
        <f aca="false">IF(ISNUMBER($AF304),INDEX(IDX_SrcGrade,$AF304),"—")</f>
        <v>—</v>
      </c>
      <c r="U304" s="35" t="s">
        <v>3189</v>
      </c>
      <c r="V304" s="186" t="n">
        <f aca="false">IF(AND($F304="原始數據",$U304&lt;&gt;"連結 SRC"),1,0)</f>
        <v>0</v>
      </c>
      <c r="W304" s="186" t="n">
        <f aca="false">IF(AND($F304="Analogy",OR($H304="—",$H304="")),1,0)</f>
        <v>0</v>
      </c>
      <c r="X304" s="186" t="n">
        <f aca="false">IF(AND(OR($F304="Analogy",$F304="Assumed"),$G304&lt;&gt;"低",$G304&lt;&gt;"高",NOT(ISNUMBER($K304)),NOT(ISNUMBER($L304)),OR($M304="—",$M304="")),1,0)</f>
        <v>0</v>
      </c>
      <c r="Y304" s="186" t="n">
        <f aca="false">IF(AND(OR($F304="Analogy",$F304="Assumed",$F304="Derived（待改公式）",$F304="Derived（公式）"),OR($N304="—",$N304="",$N304=0)),1,0)</f>
        <v>0</v>
      </c>
      <c r="Z304" s="186" t="n">
        <f aca="false">IF(AND($F304="Decision",OR($J304="—",$J304="")),1,0)</f>
        <v>0</v>
      </c>
      <c r="AA304" s="183" t="n">
        <f aca="false">IF(OR($J304="—",$J304=""),0,IF(COUNTIF(Decisions!$A$5:$A$300,$J304)=0,1,0))</f>
        <v>0</v>
      </c>
      <c r="AB304" s="186" t="n">
        <f aca="false">IF(AND($F304="原始數據",$S304&lt;&gt;"Active"),1,0)</f>
        <v>0</v>
      </c>
      <c r="AC304" s="186" t="n">
        <f aca="false">IF(AND(ISNUMBER($K304),ISNUMBER($L304),ISNUMBER($Q304)),IF(OR($Q304&lt;MIN($K304,$L304),$Q304&gt;MAX($K304,$L304)),1,0),0)</f>
        <v>0</v>
      </c>
      <c r="AD304" s="186" t="n">
        <f aca="false">IF(AND(ISNUMBER($T304),$P304="高"),IF($T304=3,1,0),0)</f>
        <v>0</v>
      </c>
      <c r="AE304" s="186" t="n">
        <f aca="false">IF($S304="不存在",1,0)</f>
        <v>0</v>
      </c>
      <c r="AF304" s="35" t="str">
        <f aca="false">IF(OR($H304="—",$H304=""),"—",MATCH($H304,IDX_SrcID,0))</f>
        <v>—</v>
      </c>
      <c r="AG304" s="104" t="n">
        <f aca="false">IF(AND($P304="高",OR($AD304=1,$X304=1)),1,0)</f>
        <v>0</v>
      </c>
      <c r="AH304" s="104" t="n">
        <f aca="false">IF(AND($P304="高",$AG304=0,OR($F304&lt;&gt;"原始數據",$T304&lt;&gt;1)),1,0)</f>
        <v>0</v>
      </c>
      <c r="AI304" s="53" t="str">
        <f aca="false">IF(AND($P304="高",ISNUMBER($AF304)),INDEX(IDX_SrcDate,$AF304),"—")</f>
        <v>—</v>
      </c>
      <c r="AJ304" s="104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6" t="s">
        <v>3913</v>
      </c>
      <c r="B305" s="215" t="s">
        <v>3914</v>
      </c>
      <c r="C305" s="36" t="s">
        <v>3834</v>
      </c>
      <c r="D305" s="36" t="s">
        <v>3632</v>
      </c>
      <c r="E305" s="19" t="s">
        <v>3915</v>
      </c>
      <c r="F305" s="191" t="s">
        <v>80</v>
      </c>
      <c r="G305" s="215" t="s">
        <v>3185</v>
      </c>
      <c r="H305" s="36" t="s">
        <v>587</v>
      </c>
      <c r="I305" s="220" t="s">
        <v>587</v>
      </c>
      <c r="J305" s="36" t="s">
        <v>587</v>
      </c>
      <c r="K305" s="215"/>
      <c r="L305" s="215"/>
      <c r="M305" s="215" t="s">
        <v>3102</v>
      </c>
      <c r="N305" s="19" t="s">
        <v>3916</v>
      </c>
      <c r="O305" s="6" t="s">
        <v>587</v>
      </c>
      <c r="P305" s="215" t="s">
        <v>3188</v>
      </c>
      <c r="Q305" s="183" t="n">
        <f aca="false">Workload!C40</f>
        <v>1</v>
      </c>
      <c r="R305" s="36" t="s">
        <v>587</v>
      </c>
      <c r="S305" s="35" t="str">
        <f aca="false">IF(ISNUMBER($AF305),INDEX(IDX_SrcStat,$AF305),"—")</f>
        <v>—</v>
      </c>
      <c r="T305" s="35" t="str">
        <f aca="false">IF(ISNUMBER($AF305),INDEX(IDX_SrcGrade,$AF305),"—")</f>
        <v>—</v>
      </c>
      <c r="U305" s="35" t="s">
        <v>3189</v>
      </c>
      <c r="V305" s="186" t="n">
        <f aca="false">IF(AND($F305="原始數據",$U305&lt;&gt;"連結 SRC"),1,0)</f>
        <v>0</v>
      </c>
      <c r="W305" s="186" t="n">
        <f aca="false">IF(AND($F305="Analogy",OR($H305="—",$H305="")),1,0)</f>
        <v>0</v>
      </c>
      <c r="X305" s="186" t="n">
        <f aca="false">IF(AND(OR($F305="Analogy",$F305="Assumed"),$G305&lt;&gt;"低",$G305&lt;&gt;"高",NOT(ISNUMBER($K305)),NOT(ISNUMBER($L305)),OR($M305="—",$M305="")),1,0)</f>
        <v>0</v>
      </c>
      <c r="Y305" s="186" t="n">
        <f aca="false">IF(AND(OR($F305="Analogy",$F305="Assumed",$F305="Derived（待改公式）",$F305="Derived（公式）"),OR($N305="—",$N305="",$N305=0)),1,0)</f>
        <v>0</v>
      </c>
      <c r="Z305" s="186" t="n">
        <f aca="false">IF(AND($F305="Decision",OR($J305="—",$J305="")),1,0)</f>
        <v>0</v>
      </c>
      <c r="AA305" s="183" t="n">
        <f aca="false">IF(OR($J305="—",$J305=""),0,IF(COUNTIF(Decisions!$A$5:$A$300,$J305)=0,1,0))</f>
        <v>0</v>
      </c>
      <c r="AB305" s="186" t="n">
        <f aca="false">IF(AND($F305="原始數據",$S305&lt;&gt;"Active"),1,0)</f>
        <v>0</v>
      </c>
      <c r="AC305" s="186" t="n">
        <f aca="false">IF(AND(ISNUMBER($K305),ISNUMBER($L305),ISNUMBER($Q305)),IF(OR($Q305&lt;MIN($K305,$L305),$Q305&gt;MAX($K305,$L305)),1,0),0)</f>
        <v>0</v>
      </c>
      <c r="AD305" s="186" t="n">
        <f aca="false">IF(AND(ISNUMBER($T305),$P305="高"),IF($T305=3,1,0),0)</f>
        <v>0</v>
      </c>
      <c r="AE305" s="186" t="n">
        <f aca="false">IF($S305="不存在",1,0)</f>
        <v>0</v>
      </c>
      <c r="AF305" s="35" t="str">
        <f aca="false">IF(OR($H305="—",$H305=""),"—",MATCH($H305,IDX_SrcID,0))</f>
        <v>—</v>
      </c>
      <c r="AG305" s="104" t="n">
        <f aca="false">IF(AND($P305="高",OR($AD305=1,$X305=1)),1,0)</f>
        <v>0</v>
      </c>
      <c r="AH305" s="104" t="n">
        <f aca="false">IF(AND($P305="高",$AG305=0,OR($F305&lt;&gt;"原始數據",$T305&lt;&gt;1)),1,0)</f>
        <v>0</v>
      </c>
      <c r="AI305" s="53" t="str">
        <f aca="false">IF(AND($P305="高",ISNUMBER($AF305)),INDEX(IDX_SrcDate,$AF305),"—")</f>
        <v>—</v>
      </c>
      <c r="AJ305" s="104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6" t="s">
        <v>3917</v>
      </c>
      <c r="B306" s="215" t="s">
        <v>3914</v>
      </c>
      <c r="C306" s="36" t="s">
        <v>3834</v>
      </c>
      <c r="D306" s="36" t="s">
        <v>3637</v>
      </c>
      <c r="E306" s="19" t="s">
        <v>3915</v>
      </c>
      <c r="F306" s="215" t="s">
        <v>298</v>
      </c>
      <c r="G306" s="215" t="s">
        <v>3185</v>
      </c>
      <c r="H306" s="36" t="s">
        <v>3918</v>
      </c>
      <c r="I306" s="19" t="s">
        <v>3220</v>
      </c>
      <c r="J306" s="36" t="s">
        <v>587</v>
      </c>
      <c r="K306" s="215"/>
      <c r="L306" s="215"/>
      <c r="M306" s="36" t="s">
        <v>587</v>
      </c>
      <c r="N306" s="19" t="s">
        <v>3919</v>
      </c>
      <c r="O306" s="6" t="s">
        <v>587</v>
      </c>
      <c r="P306" s="215" t="s">
        <v>3188</v>
      </c>
      <c r="Q306" s="183" t="n">
        <f aca="false">Workload!E40</f>
        <v>4</v>
      </c>
      <c r="R306" s="185" t="n">
        <f aca="false">SRC_HAR_001</f>
        <v>4</v>
      </c>
      <c r="S306" s="35" t="str">
        <f aca="false">IF(ISNUMBER($AF306),INDEX(IDX_SrcStat,$AF306),"—")</f>
        <v>Active</v>
      </c>
      <c r="T306" s="35" t="n">
        <f aca="false">IF(ISNUMBER($AF306),INDEX(IDX_SrcGrade,$AF306),"—")</f>
        <v>2</v>
      </c>
      <c r="U306" s="35" t="s">
        <v>3222</v>
      </c>
      <c r="V306" s="186" t="n">
        <f aca="false">IF(AND($F306="原始數據",$U306&lt;&gt;"連結 SRC"),1,0)</f>
        <v>0</v>
      </c>
      <c r="W306" s="186" t="n">
        <f aca="false">IF(AND($F306="Analogy",OR($H306="—",$H306="")),1,0)</f>
        <v>0</v>
      </c>
      <c r="X306" s="186" t="n">
        <f aca="false">IF(AND(OR($F306="Analogy",$F306="Assumed"),$G306&lt;&gt;"低",$G306&lt;&gt;"高",NOT(ISNUMBER($K306)),NOT(ISNUMBER($L306)),OR($M306="—",$M306="")),1,0)</f>
        <v>0</v>
      </c>
      <c r="Y306" s="186" t="n">
        <f aca="false">IF(AND(OR($F306="Analogy",$F306="Assumed",$F306="Derived（待改公式）",$F306="Derived（公式）"),OR($N306="—",$N306="",$N306=0)),1,0)</f>
        <v>0</v>
      </c>
      <c r="Z306" s="186" t="n">
        <f aca="false">IF(AND($F306="Decision",OR($J306="—",$J306="")),1,0)</f>
        <v>0</v>
      </c>
      <c r="AA306" s="183" t="n">
        <f aca="false">IF(OR($J306="—",$J306=""),0,IF(COUNTIF(Decisions!$A$5:$A$300,$J306)=0,1,0))</f>
        <v>0</v>
      </c>
      <c r="AB306" s="186" t="n">
        <f aca="false">IF(AND($F306="原始數據",$S306&lt;&gt;"Active"),1,0)</f>
        <v>0</v>
      </c>
      <c r="AC306" s="186" t="n">
        <f aca="false">IF(AND(ISNUMBER($K306),ISNUMBER($L306),ISNUMBER($Q306)),IF(OR($Q306&lt;MIN($K306,$L306),$Q306&gt;MAX($K306,$L306)),1,0),0)</f>
        <v>0</v>
      </c>
      <c r="AD306" s="186" t="n">
        <f aca="false">IF(AND(ISNUMBER($T306),$P306="高"),IF($T306=3,1,0),0)</f>
        <v>0</v>
      </c>
      <c r="AE306" s="186" t="n">
        <f aca="false">IF($S306="不存在",1,0)</f>
        <v>0</v>
      </c>
      <c r="AF306" s="35" t="n">
        <f aca="false">IF(OR($H306="—",$H306=""),"—",MATCH($H306,IDX_SrcID,0))</f>
        <v>563</v>
      </c>
      <c r="AG306" s="104" t="n">
        <f aca="false">IF(AND($P306="高",OR($AD306=1,$X306=1)),1,0)</f>
        <v>0</v>
      </c>
      <c r="AH306" s="104" t="n">
        <f aca="false">IF(AND($P306="高",$AG306=0,OR($F306&lt;&gt;"原始數據",$T306&lt;&gt;1)),1,0)</f>
        <v>0</v>
      </c>
      <c r="AI306" s="53" t="str">
        <f aca="false">IF(AND($P306="高",ISNUMBER($AF306)),INDEX(IDX_SrcDate,$AF306),"—")</f>
        <v>—</v>
      </c>
      <c r="AJ306" s="104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6" t="s">
        <v>3920</v>
      </c>
      <c r="B307" s="215" t="s">
        <v>3914</v>
      </c>
      <c r="C307" s="36" t="s">
        <v>3834</v>
      </c>
      <c r="D307" s="36" t="s">
        <v>3639</v>
      </c>
      <c r="E307" s="19" t="s">
        <v>3915</v>
      </c>
      <c r="F307" s="215" t="s">
        <v>298</v>
      </c>
      <c r="G307" s="215" t="s">
        <v>3185</v>
      </c>
      <c r="H307" s="36" t="s">
        <v>3921</v>
      </c>
      <c r="I307" s="19" t="s">
        <v>3220</v>
      </c>
      <c r="J307" s="36" t="s">
        <v>587</v>
      </c>
      <c r="K307" s="215"/>
      <c r="L307" s="215"/>
      <c r="M307" s="36" t="s">
        <v>587</v>
      </c>
      <c r="N307" s="19" t="s">
        <v>3919</v>
      </c>
      <c r="O307" s="6" t="s">
        <v>587</v>
      </c>
      <c r="P307" s="215" t="s">
        <v>3188</v>
      </c>
      <c r="Q307" s="183" t="n">
        <f aca="false">Workload!F40</f>
        <v>15</v>
      </c>
      <c r="R307" s="185" t="n">
        <f aca="false">SRC_HAR_002</f>
        <v>15</v>
      </c>
      <c r="S307" s="35" t="str">
        <f aca="false">IF(ISNUMBER($AF307),INDEX(IDX_SrcStat,$AF307),"—")</f>
        <v>Active</v>
      </c>
      <c r="T307" s="35" t="n">
        <f aca="false">IF(ISNUMBER($AF307),INDEX(IDX_SrcGrade,$AF307),"—")</f>
        <v>2</v>
      </c>
      <c r="U307" s="35" t="s">
        <v>3222</v>
      </c>
      <c r="V307" s="186" t="n">
        <f aca="false">IF(AND($F307="原始數據",$U307&lt;&gt;"連結 SRC"),1,0)</f>
        <v>0</v>
      </c>
      <c r="W307" s="186" t="n">
        <f aca="false">IF(AND($F307="Analogy",OR($H307="—",$H307="")),1,0)</f>
        <v>0</v>
      </c>
      <c r="X307" s="186" t="n">
        <f aca="false">IF(AND(OR($F307="Analogy",$F307="Assumed"),$G307&lt;&gt;"低",$G307&lt;&gt;"高",NOT(ISNUMBER($K307)),NOT(ISNUMBER($L307)),OR($M307="—",$M307="")),1,0)</f>
        <v>0</v>
      </c>
      <c r="Y307" s="186" t="n">
        <f aca="false">IF(AND(OR($F307="Analogy",$F307="Assumed",$F307="Derived（待改公式）",$F307="Derived（公式）"),OR($N307="—",$N307="",$N307=0)),1,0)</f>
        <v>0</v>
      </c>
      <c r="Z307" s="186" t="n">
        <f aca="false">IF(AND($F307="Decision",OR($J307="—",$J307="")),1,0)</f>
        <v>0</v>
      </c>
      <c r="AA307" s="183" t="n">
        <f aca="false">IF(OR($J307="—",$J307=""),0,IF(COUNTIF(Decisions!$A$5:$A$300,$J307)=0,1,0))</f>
        <v>0</v>
      </c>
      <c r="AB307" s="186" t="n">
        <f aca="false">IF(AND($F307="原始數據",$S307&lt;&gt;"Active"),1,0)</f>
        <v>0</v>
      </c>
      <c r="AC307" s="186" t="n">
        <f aca="false">IF(AND(ISNUMBER($K307),ISNUMBER($L307),ISNUMBER($Q307)),IF(OR($Q307&lt;MIN($K307,$L307),$Q307&gt;MAX($K307,$L307)),1,0),0)</f>
        <v>0</v>
      </c>
      <c r="AD307" s="186" t="n">
        <f aca="false">IF(AND(ISNUMBER($T307),$P307="高"),IF($T307=3,1,0),0)</f>
        <v>0</v>
      </c>
      <c r="AE307" s="186" t="n">
        <f aca="false">IF($S307="不存在",1,0)</f>
        <v>0</v>
      </c>
      <c r="AF307" s="35" t="n">
        <f aca="false">IF(OR($H307="—",$H307=""),"—",MATCH($H307,IDX_SrcID,0))</f>
        <v>564</v>
      </c>
      <c r="AG307" s="104" t="n">
        <f aca="false">IF(AND($P307="高",OR($AD307=1,$X307=1)),1,0)</f>
        <v>0</v>
      </c>
      <c r="AH307" s="104" t="n">
        <f aca="false">IF(AND($P307="高",$AG307=0,OR($F307&lt;&gt;"原始數據",$T307&lt;&gt;1)),1,0)</f>
        <v>0</v>
      </c>
      <c r="AI307" s="53" t="str">
        <f aca="false">IF(AND($P307="高",ISNUMBER($AF307)),INDEX(IDX_SrcDate,$AF307),"—")</f>
        <v>—</v>
      </c>
      <c r="AJ307" s="104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6" t="s">
        <v>3922</v>
      </c>
      <c r="B308" s="215" t="s">
        <v>3183</v>
      </c>
      <c r="C308" s="36" t="s">
        <v>3923</v>
      </c>
      <c r="D308" s="36" t="s">
        <v>3835</v>
      </c>
      <c r="E308" s="6" t="s">
        <v>411</v>
      </c>
      <c r="F308" s="36" t="s">
        <v>84</v>
      </c>
      <c r="G308" s="215" t="s">
        <v>3185</v>
      </c>
      <c r="H308" s="36" t="s">
        <v>3924</v>
      </c>
      <c r="I308" s="19" t="s">
        <v>3925</v>
      </c>
      <c r="J308" s="36" t="s">
        <v>587</v>
      </c>
      <c r="K308" s="217" t="n">
        <v>0.15</v>
      </c>
      <c r="L308" s="217" t="n">
        <v>0.45</v>
      </c>
      <c r="M308" s="36" t="s">
        <v>3926</v>
      </c>
      <c r="N308" s="216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587</v>
      </c>
      <c r="P308" s="215" t="s">
        <v>1116</v>
      </c>
      <c r="Q308" s="177" t="n">
        <f aca="false">Calib!C5</f>
        <v>0.3</v>
      </c>
      <c r="R308" s="185" t="n">
        <f aca="false">SRC_PERF_041</f>
        <v>73700</v>
      </c>
      <c r="S308" s="35" t="str">
        <f aca="false">IF(ISNUMBER($AF308),INDEX(IDX_SrcStat,$AF308),"—")</f>
        <v>Active</v>
      </c>
      <c r="T308" s="35" t="n">
        <f aca="false">IF(ISNUMBER($AF308),INDEX(IDX_SrcGrade,$AF308),"—")</f>
        <v>1</v>
      </c>
      <c r="U308" s="35" t="s">
        <v>3189</v>
      </c>
      <c r="V308" s="186" t="n">
        <f aca="false">IF(AND($F308="原始數據",$U308&lt;&gt;"連結 SRC"),1,0)</f>
        <v>0</v>
      </c>
      <c r="W308" s="186" t="n">
        <f aca="false">IF(AND($F308="Analogy",OR($H308="—",$H308="")),1,0)</f>
        <v>0</v>
      </c>
      <c r="X308" s="186" t="n">
        <f aca="false">IF(AND(OR($F308="Analogy",$F308="Assumed"),$G308&lt;&gt;"低",$G308&lt;&gt;"高",NOT(ISNUMBER($K308)),NOT(ISNUMBER($L308)),OR($M308="—",$M308="")),1,0)</f>
        <v>0</v>
      </c>
      <c r="Y308" s="186" t="n">
        <f aca="false">IF(AND(OR($F308="Analogy",$F308="Assumed",$F308="Derived（待改公式）",$F308="Derived（公式）"),OR($N308="—",$N308="",$N308=0)),1,0)</f>
        <v>0</v>
      </c>
      <c r="Z308" s="186" t="n">
        <f aca="false">IF(AND($F308="Decision",OR($J308="—",$J308="")),1,0)</f>
        <v>0</v>
      </c>
      <c r="AA308" s="183" t="n">
        <f aca="false">IF(OR($J308="—",$J308=""),0,IF(COUNTIF(Decisions!$A$5:$A$300,$J308)=0,1,0))</f>
        <v>0</v>
      </c>
      <c r="AB308" s="186" t="n">
        <f aca="false">IF(AND($F308="原始數據",$S308&lt;&gt;"Active"),1,0)</f>
        <v>0</v>
      </c>
      <c r="AC308" s="186" t="n">
        <f aca="false">IF(AND(ISNUMBER($K308),ISNUMBER($L308),ISNUMBER($Q308)),IF(OR($Q308&lt;MIN($K308,$L308),$Q308&gt;MAX($K308,$L308)),1,0),0)</f>
        <v>0</v>
      </c>
      <c r="AD308" s="186" t="n">
        <f aca="false">IF(AND(ISNUMBER($T308),$P308="高"),IF($T308=3,1,0),0)</f>
        <v>0</v>
      </c>
      <c r="AE308" s="186" t="n">
        <f aca="false">IF($S308="不存在",1,0)</f>
        <v>0</v>
      </c>
      <c r="AF308" s="35" t="n">
        <f aca="false">IF(OR($H308="—",$H308=""),"—",MATCH($H308,IDX_SrcID,0))</f>
        <v>329</v>
      </c>
      <c r="AG308" s="104" t="n">
        <f aca="false">IF(AND($P308="高",OR($AD308=1,$X308=1)),1,0)</f>
        <v>0</v>
      </c>
      <c r="AH308" s="104" t="n">
        <f aca="false">IF(AND($P308="高",$AG308=0,OR($F308&lt;&gt;"原始數據",$T308&lt;&gt;1)),1,0)</f>
        <v>1</v>
      </c>
      <c r="AI308" s="53" t="str">
        <f aca="false">IF(AND($P308="高",ISNUMBER($AF308)),INDEX(IDX_SrcDate,$AF308),"—")</f>
        <v>—</v>
      </c>
      <c r="AJ308" s="104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6" t="s">
        <v>3927</v>
      </c>
      <c r="B309" s="215" t="s">
        <v>3183</v>
      </c>
      <c r="C309" s="36" t="s">
        <v>3923</v>
      </c>
      <c r="D309" s="36" t="s">
        <v>3928</v>
      </c>
      <c r="E309" s="19" t="s">
        <v>419</v>
      </c>
      <c r="F309" s="215" t="s">
        <v>3929</v>
      </c>
      <c r="G309" s="215" t="s">
        <v>3930</v>
      </c>
      <c r="H309" s="36" t="s">
        <v>587</v>
      </c>
      <c r="I309" s="6" t="s">
        <v>587</v>
      </c>
      <c r="J309" s="36" t="s">
        <v>587</v>
      </c>
      <c r="K309" s="215"/>
      <c r="L309" s="215"/>
      <c r="M309" s="36" t="s">
        <v>587</v>
      </c>
      <c r="N309" s="19" t="s">
        <v>3931</v>
      </c>
      <c r="O309" s="6" t="s">
        <v>587</v>
      </c>
      <c r="P309" s="36" t="s">
        <v>587</v>
      </c>
      <c r="Q309" s="185" t="s">
        <v>587</v>
      </c>
      <c r="R309" s="36" t="s">
        <v>587</v>
      </c>
      <c r="S309" s="35" t="str">
        <f aca="false">IF(ISNUMBER($AF309),INDEX(IDX_SrcStat,$AF309),"—")</f>
        <v>—</v>
      </c>
      <c r="T309" s="35" t="str">
        <f aca="false">IF(ISNUMBER($AF309),INDEX(IDX_SrcGrade,$AF309),"—")</f>
        <v>—</v>
      </c>
      <c r="U309" s="36" t="s">
        <v>587</v>
      </c>
      <c r="V309" s="186" t="n">
        <f aca="false">IF(AND($F309="原始數據",$U309&lt;&gt;"連結 SRC"),1,0)</f>
        <v>0</v>
      </c>
      <c r="W309" s="186" t="n">
        <f aca="false">IF(AND($F309="Analogy",OR($H309="—",$H309="")),1,0)</f>
        <v>0</v>
      </c>
      <c r="X309" s="186" t="n">
        <f aca="false">IF(AND(OR($F309="Analogy",$F309="Assumed"),$G309&lt;&gt;"低",$G309&lt;&gt;"高",NOT(ISNUMBER($K309)),NOT(ISNUMBER($L309)),OR($M309="—",$M309="")),1,0)</f>
        <v>0</v>
      </c>
      <c r="Y309" s="186" t="n">
        <f aca="false">IF(AND(OR($F309="Analogy",$F309="Assumed",$F309="Derived（待改公式）",$F309="Derived（公式）"),OR($N309="—",$N309="",$N309=0)),1,0)</f>
        <v>0</v>
      </c>
      <c r="Z309" s="186" t="n">
        <f aca="false">IF(AND($F309="Decision",OR($J309="—",$J309="")),1,0)</f>
        <v>0</v>
      </c>
      <c r="AA309" s="183" t="n">
        <f aca="false">IF(OR($J309="—",$J309=""),0,IF(COUNTIF(Decisions!$A$5:$A$300,$J309)=0,1,0))</f>
        <v>0</v>
      </c>
      <c r="AB309" s="186" t="n">
        <f aca="false">IF(AND($F309="原始數據",$S309&lt;&gt;"Active"),1,0)</f>
        <v>0</v>
      </c>
      <c r="AC309" s="186" t="n">
        <f aca="false">IF(AND(ISNUMBER($K309),ISNUMBER($L309),ISNUMBER($Q309)),IF(OR($Q309&lt;MIN($K309,$L309),$Q309&gt;MAX($K309,$L309)),1,0),0)</f>
        <v>0</v>
      </c>
      <c r="AD309" s="186" t="n">
        <f aca="false">IF(AND(ISNUMBER($T309),$P309="高"),IF($T309=3,1,0),0)</f>
        <v>0</v>
      </c>
      <c r="AE309" s="186" t="n">
        <f aca="false">IF($S309="不存在",1,0)</f>
        <v>0</v>
      </c>
      <c r="AF309" s="35" t="str">
        <f aca="false">IF(OR($H309="—",$H309=""),"—",MATCH($H309,IDX_SrcID,0))</f>
        <v>—</v>
      </c>
      <c r="AG309" s="104" t="n">
        <f aca="false">IF(AND($P309="高",OR($AD309=1,$X309=1)),1,0)</f>
        <v>0</v>
      </c>
      <c r="AH309" s="104" t="n">
        <f aca="false">IF(AND($P309="高",$AG309=0,OR($F309&lt;&gt;"原始數據",$T309&lt;&gt;1)),1,0)</f>
        <v>0</v>
      </c>
      <c r="AI309" s="53" t="str">
        <f aca="false">IF(AND($P309="高",ISNUMBER($AF309)),INDEX(IDX_SrcDate,$AF309),"—")</f>
        <v>—</v>
      </c>
      <c r="AJ309" s="104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6" t="s">
        <v>3932</v>
      </c>
      <c r="B310" s="215" t="s">
        <v>3183</v>
      </c>
      <c r="C310" s="36" t="s">
        <v>3923</v>
      </c>
      <c r="D310" s="36" t="s">
        <v>3438</v>
      </c>
      <c r="E310" s="6" t="s">
        <v>425</v>
      </c>
      <c r="F310" s="215" t="s">
        <v>298</v>
      </c>
      <c r="G310" s="215" t="s">
        <v>3185</v>
      </c>
      <c r="H310" s="36" t="s">
        <v>3933</v>
      </c>
      <c r="I310" s="19" t="s">
        <v>3220</v>
      </c>
      <c r="J310" s="36" t="s">
        <v>587</v>
      </c>
      <c r="K310" s="215"/>
      <c r="L310" s="215"/>
      <c r="M310" s="36" t="s">
        <v>587</v>
      </c>
      <c r="N310" s="19" t="s">
        <v>3318</v>
      </c>
      <c r="O310" s="6" t="s">
        <v>587</v>
      </c>
      <c r="P310" s="215" t="s">
        <v>3188</v>
      </c>
      <c r="Q310" s="183" t="n">
        <f aca="false">Calib!C13</f>
        <v>1</v>
      </c>
      <c r="R310" s="185" t="n">
        <f aca="false">SRC_PERF_009_MTP</f>
        <v>1</v>
      </c>
      <c r="S310" s="35" t="str">
        <f aca="false">IF(ISNUMBER($AF310),INDEX(IDX_SrcStat,$AF310),"—")</f>
        <v>Active</v>
      </c>
      <c r="T310" s="35" t="n">
        <f aca="false">IF(ISNUMBER($AF310),INDEX(IDX_SrcGrade,$AF310),"—")</f>
        <v>2</v>
      </c>
      <c r="U310" s="35" t="s">
        <v>3222</v>
      </c>
      <c r="V310" s="186" t="n">
        <f aca="false">IF(AND($F310="原始數據",$U310&lt;&gt;"連結 SRC"),1,0)</f>
        <v>0</v>
      </c>
      <c r="W310" s="186" t="n">
        <f aca="false">IF(AND($F310="Analogy",OR($H310="—",$H310="")),1,0)</f>
        <v>0</v>
      </c>
      <c r="X310" s="186" t="n">
        <f aca="false">IF(AND(OR($F310="Analogy",$F310="Assumed"),$G310&lt;&gt;"低",$G310&lt;&gt;"高",NOT(ISNUMBER($K310)),NOT(ISNUMBER($L310)),OR($M310="—",$M310="")),1,0)</f>
        <v>0</v>
      </c>
      <c r="Y310" s="186" t="n">
        <f aca="false">IF(AND(OR($F310="Analogy",$F310="Assumed",$F310="Derived（待改公式）",$F310="Derived（公式）"),OR($N310="—",$N310="",$N310=0)),1,0)</f>
        <v>0</v>
      </c>
      <c r="Z310" s="186" t="n">
        <f aca="false">IF(AND($F310="Decision",OR($J310="—",$J310="")),1,0)</f>
        <v>0</v>
      </c>
      <c r="AA310" s="183" t="n">
        <f aca="false">IF(OR($J310="—",$J310=""),0,IF(COUNTIF(Decisions!$A$5:$A$300,$J310)=0,1,0))</f>
        <v>0</v>
      </c>
      <c r="AB310" s="186" t="n">
        <f aca="false">IF(AND($F310="原始數據",$S310&lt;&gt;"Active"),1,0)</f>
        <v>0</v>
      </c>
      <c r="AC310" s="186" t="n">
        <f aca="false">IF(AND(ISNUMBER($K310),ISNUMBER($L310),ISNUMBER($Q310)),IF(OR($Q310&lt;MIN($K310,$L310),$Q310&gt;MAX($K310,$L310)),1,0),0)</f>
        <v>0</v>
      </c>
      <c r="AD310" s="186" t="n">
        <f aca="false">IF(AND(ISNUMBER($T310),$P310="高"),IF($T310=3,1,0),0)</f>
        <v>0</v>
      </c>
      <c r="AE310" s="186" t="n">
        <f aca="false">IF($S310="不存在",1,0)</f>
        <v>0</v>
      </c>
      <c r="AF310" s="35" t="n">
        <f aca="false">IF(OR($H310="—",$H310=""),"—",MATCH($H310,IDX_SrcID,0))</f>
        <v>297</v>
      </c>
      <c r="AG310" s="104" t="n">
        <f aca="false">IF(AND($P310="高",OR($AD310=1,$X310=1)),1,0)</f>
        <v>0</v>
      </c>
      <c r="AH310" s="104" t="n">
        <f aca="false">IF(AND($P310="高",$AG310=0,OR($F310&lt;&gt;"原始數據",$T310&lt;&gt;1)),1,0)</f>
        <v>0</v>
      </c>
      <c r="AI310" s="53" t="str">
        <f aca="false">IF(AND($P310="高",ISNUMBER($AF310)),INDEX(IDX_SrcDate,$AF310),"—")</f>
        <v>—</v>
      </c>
      <c r="AJ310" s="104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6" t="s">
        <v>3934</v>
      </c>
      <c r="B311" s="215" t="s">
        <v>3183</v>
      </c>
      <c r="C311" s="36" t="s">
        <v>3923</v>
      </c>
      <c r="D311" s="36" t="s">
        <v>3687</v>
      </c>
      <c r="E311" s="19" t="s">
        <v>426</v>
      </c>
      <c r="F311" s="215" t="s">
        <v>298</v>
      </c>
      <c r="G311" s="215" t="s">
        <v>3185</v>
      </c>
      <c r="H311" s="36" t="s">
        <v>3933</v>
      </c>
      <c r="I311" s="19" t="s">
        <v>3220</v>
      </c>
      <c r="J311" s="36" t="s">
        <v>587</v>
      </c>
      <c r="K311" s="215"/>
      <c r="L311" s="215"/>
      <c r="M311" s="36" t="s">
        <v>587</v>
      </c>
      <c r="N311" s="19" t="s">
        <v>3318</v>
      </c>
      <c r="O311" s="6" t="s">
        <v>587</v>
      </c>
      <c r="P311" s="215" t="s">
        <v>1116</v>
      </c>
      <c r="Q311" s="41" t="n">
        <f aca="false">Calib!C14</f>
        <v>72</v>
      </c>
      <c r="R311" s="185" t="n">
        <f aca="false">SRC_PERF_009_Spd</f>
        <v>72</v>
      </c>
      <c r="S311" s="35" t="str">
        <f aca="false">IF(ISNUMBER($AF311),INDEX(IDX_SrcStat,$AF311),"—")</f>
        <v>Active</v>
      </c>
      <c r="T311" s="35" t="n">
        <f aca="false">IF(ISNUMBER($AF311),INDEX(IDX_SrcGrade,$AF311),"—")</f>
        <v>2</v>
      </c>
      <c r="U311" s="35" t="s">
        <v>3222</v>
      </c>
      <c r="V311" s="186" t="n">
        <f aca="false">IF(AND($F311="原始數據",$U311&lt;&gt;"連結 SRC"),1,0)</f>
        <v>0</v>
      </c>
      <c r="W311" s="186" t="n">
        <f aca="false">IF(AND($F311="Analogy",OR($H311="—",$H311="")),1,0)</f>
        <v>0</v>
      </c>
      <c r="X311" s="186" t="n">
        <f aca="false">IF(AND(OR($F311="Analogy",$F311="Assumed"),$G311&lt;&gt;"低",$G311&lt;&gt;"高",NOT(ISNUMBER($K311)),NOT(ISNUMBER($L311)),OR($M311="—",$M311="")),1,0)</f>
        <v>0</v>
      </c>
      <c r="Y311" s="186" t="n">
        <f aca="false">IF(AND(OR($F311="Analogy",$F311="Assumed",$F311="Derived（待改公式）",$F311="Derived（公式）"),OR($N311="—",$N311="",$N311=0)),1,0)</f>
        <v>0</v>
      </c>
      <c r="Z311" s="186" t="n">
        <f aca="false">IF(AND($F311="Decision",OR($J311="—",$J311="")),1,0)</f>
        <v>0</v>
      </c>
      <c r="AA311" s="183" t="n">
        <f aca="false">IF(OR($J311="—",$J311=""),0,IF(COUNTIF(Decisions!$A$5:$A$300,$J311)=0,1,0))</f>
        <v>0</v>
      </c>
      <c r="AB311" s="186" t="n">
        <f aca="false">IF(AND($F311="原始數據",$S311&lt;&gt;"Active"),1,0)</f>
        <v>0</v>
      </c>
      <c r="AC311" s="186" t="n">
        <f aca="false">IF(AND(ISNUMBER($K311),ISNUMBER($L311),ISNUMBER($Q311)),IF(OR($Q311&lt;MIN($K311,$L311),$Q311&gt;MAX($K311,$L311)),1,0),0)</f>
        <v>0</v>
      </c>
      <c r="AD311" s="186" t="n">
        <f aca="false">IF(AND(ISNUMBER($T311),$P311="高"),IF($T311=3,1,0),0)</f>
        <v>0</v>
      </c>
      <c r="AE311" s="186" t="n">
        <f aca="false">IF($S311="不存在",1,0)</f>
        <v>0</v>
      </c>
      <c r="AF311" s="35" t="n">
        <f aca="false">IF(OR($H311="—",$H311=""),"—",MATCH($H311,IDX_SrcID,0))</f>
        <v>297</v>
      </c>
      <c r="AG311" s="104" t="n">
        <f aca="false">IF(AND($P311="高",OR($AD311=1,$X311=1)),1,0)</f>
        <v>0</v>
      </c>
      <c r="AH311" s="104" t="n">
        <f aca="false">IF(AND($P311="高",$AG311=0,OR($F311&lt;&gt;"原始數據",$T311&lt;&gt;1)),1,0)</f>
        <v>1</v>
      </c>
      <c r="AI311" s="53" t="str">
        <f aca="false">IF(AND($P311="高",ISNUMBER($AF311)),INDEX(IDX_SrcDate,$AF311),"—")</f>
        <v>2026-10-05</v>
      </c>
      <c r="AJ311" s="104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6" t="s">
        <v>3935</v>
      </c>
      <c r="B312" s="215" t="s">
        <v>3183</v>
      </c>
      <c r="C312" s="36" t="s">
        <v>3923</v>
      </c>
      <c r="D312" s="36" t="s">
        <v>3691</v>
      </c>
      <c r="E312" s="6" t="s">
        <v>427</v>
      </c>
      <c r="F312" s="215" t="s">
        <v>298</v>
      </c>
      <c r="G312" s="215" t="s">
        <v>3185</v>
      </c>
      <c r="H312" s="36" t="s">
        <v>3933</v>
      </c>
      <c r="I312" s="19" t="s">
        <v>3220</v>
      </c>
      <c r="J312" s="36" t="s">
        <v>587</v>
      </c>
      <c r="K312" s="215"/>
      <c r="L312" s="215"/>
      <c r="M312" s="36" t="s">
        <v>587</v>
      </c>
      <c r="N312" s="19" t="s">
        <v>3318</v>
      </c>
      <c r="O312" s="6" t="s">
        <v>587</v>
      </c>
      <c r="P312" s="215" t="s">
        <v>1116</v>
      </c>
      <c r="Q312" s="41" t="n">
        <f aca="false">Calib!C15</f>
        <v>8192</v>
      </c>
      <c r="R312" s="185" t="n">
        <f aca="false">SRC_PERF_009_ISL</f>
        <v>8192</v>
      </c>
      <c r="S312" s="35" t="str">
        <f aca="false">IF(ISNUMBER($AF312),INDEX(IDX_SrcStat,$AF312),"—")</f>
        <v>Active</v>
      </c>
      <c r="T312" s="35" t="n">
        <f aca="false">IF(ISNUMBER($AF312),INDEX(IDX_SrcGrade,$AF312),"—")</f>
        <v>2</v>
      </c>
      <c r="U312" s="35" t="s">
        <v>3222</v>
      </c>
      <c r="V312" s="186" t="n">
        <f aca="false">IF(AND($F312="原始數據",$U312&lt;&gt;"連結 SRC"),1,0)</f>
        <v>0</v>
      </c>
      <c r="W312" s="186" t="n">
        <f aca="false">IF(AND($F312="Analogy",OR($H312="—",$H312="")),1,0)</f>
        <v>0</v>
      </c>
      <c r="X312" s="186" t="n">
        <f aca="false">IF(AND(OR($F312="Analogy",$F312="Assumed"),$G312&lt;&gt;"低",$G312&lt;&gt;"高",NOT(ISNUMBER($K312)),NOT(ISNUMBER($L312)),OR($M312="—",$M312="")),1,0)</f>
        <v>0</v>
      </c>
      <c r="Y312" s="186" t="n">
        <f aca="false">IF(AND(OR($F312="Analogy",$F312="Assumed",$F312="Derived（待改公式）",$F312="Derived（公式）"),OR($N312="—",$N312="",$N312=0)),1,0)</f>
        <v>0</v>
      </c>
      <c r="Z312" s="186" t="n">
        <f aca="false">IF(AND($F312="Decision",OR($J312="—",$J312="")),1,0)</f>
        <v>0</v>
      </c>
      <c r="AA312" s="183" t="n">
        <f aca="false">IF(OR($J312="—",$J312=""),0,IF(COUNTIF(Decisions!$A$5:$A$300,$J312)=0,1,0))</f>
        <v>0</v>
      </c>
      <c r="AB312" s="186" t="n">
        <f aca="false">IF(AND($F312="原始數據",$S312&lt;&gt;"Active"),1,0)</f>
        <v>0</v>
      </c>
      <c r="AC312" s="186" t="n">
        <f aca="false">IF(AND(ISNUMBER($K312),ISNUMBER($L312),ISNUMBER($Q312)),IF(OR($Q312&lt;MIN($K312,$L312),$Q312&gt;MAX($K312,$L312)),1,0),0)</f>
        <v>0</v>
      </c>
      <c r="AD312" s="186" t="n">
        <f aca="false">IF(AND(ISNUMBER($T312),$P312="高"),IF($T312=3,1,0),0)</f>
        <v>0</v>
      </c>
      <c r="AE312" s="186" t="n">
        <f aca="false">IF($S312="不存在",1,0)</f>
        <v>0</v>
      </c>
      <c r="AF312" s="35" t="n">
        <f aca="false">IF(OR($H312="—",$H312=""),"—",MATCH($H312,IDX_SrcID,0))</f>
        <v>297</v>
      </c>
      <c r="AG312" s="104" t="n">
        <f aca="false">IF(AND($P312="高",OR($AD312=1,$X312=1)),1,0)</f>
        <v>0</v>
      </c>
      <c r="AH312" s="104" t="n">
        <f aca="false">IF(AND($P312="高",$AG312=0,OR($F312&lt;&gt;"原始數據",$T312&lt;&gt;1)),1,0)</f>
        <v>1</v>
      </c>
      <c r="AI312" s="53" t="str">
        <f aca="false">IF(AND($P312="高",ISNUMBER($AF312)),INDEX(IDX_SrcDate,$AF312),"—")</f>
        <v>2026-10-05</v>
      </c>
      <c r="AJ312" s="104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6" t="s">
        <v>3936</v>
      </c>
      <c r="B313" s="215" t="s">
        <v>3183</v>
      </c>
      <c r="C313" s="36" t="s">
        <v>3923</v>
      </c>
      <c r="D313" s="36" t="s">
        <v>3696</v>
      </c>
      <c r="E313" s="6" t="s">
        <v>428</v>
      </c>
      <c r="F313" s="215" t="s">
        <v>298</v>
      </c>
      <c r="G313" s="215" t="s">
        <v>3185</v>
      </c>
      <c r="H313" s="36" t="s">
        <v>3933</v>
      </c>
      <c r="I313" s="19" t="s">
        <v>3220</v>
      </c>
      <c r="J313" s="36" t="s">
        <v>587</v>
      </c>
      <c r="K313" s="215"/>
      <c r="L313" s="215"/>
      <c r="M313" s="36" t="s">
        <v>587</v>
      </c>
      <c r="N313" s="19" t="s">
        <v>3318</v>
      </c>
      <c r="O313" s="6" t="s">
        <v>587</v>
      </c>
      <c r="P313" s="215" t="s">
        <v>1116</v>
      </c>
      <c r="Q313" s="41" t="n">
        <f aca="false">Calib!C16</f>
        <v>1024</v>
      </c>
      <c r="R313" s="185" t="n">
        <f aca="false">SRC_PERF_009_OSL</f>
        <v>1024</v>
      </c>
      <c r="S313" s="35" t="str">
        <f aca="false">IF(ISNUMBER($AF313),INDEX(IDX_SrcStat,$AF313),"—")</f>
        <v>Active</v>
      </c>
      <c r="T313" s="35" t="n">
        <f aca="false">IF(ISNUMBER($AF313),INDEX(IDX_SrcGrade,$AF313),"—")</f>
        <v>2</v>
      </c>
      <c r="U313" s="35" t="s">
        <v>3222</v>
      </c>
      <c r="V313" s="186" t="n">
        <f aca="false">IF(AND($F313="原始數據",$U313&lt;&gt;"連結 SRC"),1,0)</f>
        <v>0</v>
      </c>
      <c r="W313" s="186" t="n">
        <f aca="false">IF(AND($F313="Analogy",OR($H313="—",$H313="")),1,0)</f>
        <v>0</v>
      </c>
      <c r="X313" s="186" t="n">
        <f aca="false">IF(AND(OR($F313="Analogy",$F313="Assumed"),$G313&lt;&gt;"低",$G313&lt;&gt;"高",NOT(ISNUMBER($K313)),NOT(ISNUMBER($L313)),OR($M313="—",$M313="")),1,0)</f>
        <v>0</v>
      </c>
      <c r="Y313" s="186" t="n">
        <f aca="false">IF(AND(OR($F313="Analogy",$F313="Assumed",$F313="Derived（待改公式）",$F313="Derived（公式）"),OR($N313="—",$N313="",$N313=0)),1,0)</f>
        <v>0</v>
      </c>
      <c r="Z313" s="186" t="n">
        <f aca="false">IF(AND($F313="Decision",OR($J313="—",$J313="")),1,0)</f>
        <v>0</v>
      </c>
      <c r="AA313" s="183" t="n">
        <f aca="false">IF(OR($J313="—",$J313=""),0,IF(COUNTIF(Decisions!$A$5:$A$300,$J313)=0,1,0))</f>
        <v>0</v>
      </c>
      <c r="AB313" s="186" t="n">
        <f aca="false">IF(AND($F313="原始數據",$S313&lt;&gt;"Active"),1,0)</f>
        <v>0</v>
      </c>
      <c r="AC313" s="186" t="n">
        <f aca="false">IF(AND(ISNUMBER($K313),ISNUMBER($L313),ISNUMBER($Q313)),IF(OR($Q313&lt;MIN($K313,$L313),$Q313&gt;MAX($K313,$L313)),1,0),0)</f>
        <v>0</v>
      </c>
      <c r="AD313" s="186" t="n">
        <f aca="false">IF(AND(ISNUMBER($T313),$P313="高"),IF($T313=3,1,0),0)</f>
        <v>0</v>
      </c>
      <c r="AE313" s="186" t="n">
        <f aca="false">IF($S313="不存在",1,0)</f>
        <v>0</v>
      </c>
      <c r="AF313" s="35" t="n">
        <f aca="false">IF(OR($H313="—",$H313=""),"—",MATCH($H313,IDX_SrcID,0))</f>
        <v>297</v>
      </c>
      <c r="AG313" s="104" t="n">
        <f aca="false">IF(AND($P313="高",OR($AD313=1,$X313=1)),1,0)</f>
        <v>0</v>
      </c>
      <c r="AH313" s="104" t="n">
        <f aca="false">IF(AND($P313="高",$AG313=0,OR($F313&lt;&gt;"原始數據",$T313&lt;&gt;1)),1,0)</f>
        <v>1</v>
      </c>
      <c r="AI313" s="53" t="str">
        <f aca="false">IF(AND($P313="高",ISNUMBER($AF313)),INDEX(IDX_SrcDate,$AF313),"—")</f>
        <v>2026-10-05</v>
      </c>
      <c r="AJ313" s="104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6" t="s">
        <v>3937</v>
      </c>
      <c r="B314" s="215" t="s">
        <v>3183</v>
      </c>
      <c r="C314" s="36" t="s">
        <v>3923</v>
      </c>
      <c r="D314" s="36" t="s">
        <v>3718</v>
      </c>
      <c r="E314" s="19" t="s">
        <v>3938</v>
      </c>
      <c r="F314" s="215" t="s">
        <v>298</v>
      </c>
      <c r="G314" s="215" t="s">
        <v>3185</v>
      </c>
      <c r="H314" s="36" t="s">
        <v>3933</v>
      </c>
      <c r="I314" s="19" t="s">
        <v>3939</v>
      </c>
      <c r="J314" s="36" t="s">
        <v>587</v>
      </c>
      <c r="K314" s="215"/>
      <c r="L314" s="215"/>
      <c r="M314" s="36" t="s">
        <v>587</v>
      </c>
      <c r="N314" s="19" t="s">
        <v>3318</v>
      </c>
      <c r="O314" s="6" t="s">
        <v>3940</v>
      </c>
      <c r="P314" s="215" t="s">
        <v>1116</v>
      </c>
      <c r="Q314" s="41" t="n">
        <f aca="false">Calib!C17</f>
        <v>9342.1</v>
      </c>
      <c r="R314" s="185" t="n">
        <f aca="false">SRC_PERF_009</f>
        <v>9342.1</v>
      </c>
      <c r="S314" s="35" t="str">
        <f aca="false">IF(ISNUMBER($AF314),INDEX(IDX_SrcStat,$AF314),"—")</f>
        <v>Active</v>
      </c>
      <c r="T314" s="35" t="n">
        <f aca="false">IF(ISNUMBER($AF314),INDEX(IDX_SrcGrade,$AF314),"—")</f>
        <v>2</v>
      </c>
      <c r="U314" s="35" t="s">
        <v>3222</v>
      </c>
      <c r="V314" s="186" t="n">
        <f aca="false">IF(AND($F314="原始數據",$U314&lt;&gt;"連結 SRC"),1,0)</f>
        <v>0</v>
      </c>
      <c r="W314" s="186" t="n">
        <f aca="false">IF(AND($F314="Analogy",OR($H314="—",$H314="")),1,0)</f>
        <v>0</v>
      </c>
      <c r="X314" s="186" t="n">
        <f aca="false">IF(AND(OR($F314="Analogy",$F314="Assumed"),$G314&lt;&gt;"低",$G314&lt;&gt;"高",NOT(ISNUMBER($K314)),NOT(ISNUMBER($L314)),OR($M314="—",$M314="")),1,0)</f>
        <v>0</v>
      </c>
      <c r="Y314" s="186" t="n">
        <f aca="false">IF(AND(OR($F314="Analogy",$F314="Assumed",$F314="Derived（待改公式）",$F314="Derived（公式）"),OR($N314="—",$N314="",$N314=0)),1,0)</f>
        <v>0</v>
      </c>
      <c r="Z314" s="186" t="n">
        <f aca="false">IF(AND($F314="Decision",OR($J314="—",$J314="")),1,0)</f>
        <v>0</v>
      </c>
      <c r="AA314" s="183" t="n">
        <f aca="false">IF(OR($J314="—",$J314=""),0,IF(COUNTIF(Decisions!$A$5:$A$300,$J314)=0,1,0))</f>
        <v>0</v>
      </c>
      <c r="AB314" s="186" t="n">
        <f aca="false">IF(AND($F314="原始數據",$S314&lt;&gt;"Active"),1,0)</f>
        <v>0</v>
      </c>
      <c r="AC314" s="186" t="n">
        <f aca="false">IF(AND(ISNUMBER($K314),ISNUMBER($L314),ISNUMBER($Q314)),IF(OR($Q314&lt;MIN($K314,$L314),$Q314&gt;MAX($K314,$L314)),1,0),0)</f>
        <v>0</v>
      </c>
      <c r="AD314" s="186" t="n">
        <f aca="false">IF(AND(ISNUMBER($T314),$P314="高"),IF($T314=3,1,0),0)</f>
        <v>0</v>
      </c>
      <c r="AE314" s="186" t="n">
        <f aca="false">IF($S314="不存在",1,0)</f>
        <v>0</v>
      </c>
      <c r="AF314" s="35" t="n">
        <f aca="false">IF(OR($H314="—",$H314=""),"—",MATCH($H314,IDX_SrcID,0))</f>
        <v>297</v>
      </c>
      <c r="AG314" s="104" t="n">
        <f aca="false">IF(AND($P314="高",OR($AD314=1,$X314=1)),1,0)</f>
        <v>0</v>
      </c>
      <c r="AH314" s="104" t="n">
        <f aca="false">IF(AND($P314="高",$AG314=0,OR($F314&lt;&gt;"原始數據",$T314&lt;&gt;1)),1,0)</f>
        <v>1</v>
      </c>
      <c r="AI314" s="53" t="str">
        <f aca="false">IF(AND($P314="高",ISNUMBER($AF314)),INDEX(IDX_SrcDate,$AF314),"—")</f>
        <v>2026-10-05</v>
      </c>
      <c r="AJ314" s="104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6" t="s">
        <v>3941</v>
      </c>
      <c r="B315" s="215" t="s">
        <v>3183</v>
      </c>
      <c r="C315" s="36" t="s">
        <v>3923</v>
      </c>
      <c r="D315" s="36" t="s">
        <v>3216</v>
      </c>
      <c r="E315" s="6" t="s">
        <v>425</v>
      </c>
      <c r="F315" s="215" t="s">
        <v>298</v>
      </c>
      <c r="G315" s="215" t="s">
        <v>3185</v>
      </c>
      <c r="H315" s="36" t="s">
        <v>3942</v>
      </c>
      <c r="I315" s="19" t="s">
        <v>3220</v>
      </c>
      <c r="J315" s="36" t="s">
        <v>587</v>
      </c>
      <c r="K315" s="215"/>
      <c r="L315" s="215"/>
      <c r="M315" s="36" t="s">
        <v>587</v>
      </c>
      <c r="N315" s="19" t="s">
        <v>3318</v>
      </c>
      <c r="O315" s="6" t="s">
        <v>587</v>
      </c>
      <c r="P315" s="215" t="s">
        <v>3188</v>
      </c>
      <c r="Q315" s="183" t="n">
        <f aca="false">Calib!D13</f>
        <v>1</v>
      </c>
      <c r="R315" s="185" t="n">
        <f aca="false">SRC_PERF_010_MTP</f>
        <v>1</v>
      </c>
      <c r="S315" s="35" t="str">
        <f aca="false">IF(ISNUMBER($AF315),INDEX(IDX_SrcStat,$AF315),"—")</f>
        <v>Active</v>
      </c>
      <c r="T315" s="35" t="n">
        <f aca="false">IF(ISNUMBER($AF315),INDEX(IDX_SrcGrade,$AF315),"—")</f>
        <v>2</v>
      </c>
      <c r="U315" s="35" t="s">
        <v>3222</v>
      </c>
      <c r="V315" s="186" t="n">
        <f aca="false">IF(AND($F315="原始數據",$U315&lt;&gt;"連結 SRC"),1,0)</f>
        <v>0</v>
      </c>
      <c r="W315" s="186" t="n">
        <f aca="false">IF(AND($F315="Analogy",OR($H315="—",$H315="")),1,0)</f>
        <v>0</v>
      </c>
      <c r="X315" s="186" t="n">
        <f aca="false">IF(AND(OR($F315="Analogy",$F315="Assumed"),$G315&lt;&gt;"低",$G315&lt;&gt;"高",NOT(ISNUMBER($K315)),NOT(ISNUMBER($L315)),OR($M315="—",$M315="")),1,0)</f>
        <v>0</v>
      </c>
      <c r="Y315" s="186" t="n">
        <f aca="false">IF(AND(OR($F315="Analogy",$F315="Assumed",$F315="Derived（待改公式）",$F315="Derived（公式）"),OR($N315="—",$N315="",$N315=0)),1,0)</f>
        <v>0</v>
      </c>
      <c r="Z315" s="186" t="n">
        <f aca="false">IF(AND($F315="Decision",OR($J315="—",$J315="")),1,0)</f>
        <v>0</v>
      </c>
      <c r="AA315" s="183" t="n">
        <f aca="false">IF(OR($J315="—",$J315=""),0,IF(COUNTIF(Decisions!$A$5:$A$300,$J315)=0,1,0))</f>
        <v>0</v>
      </c>
      <c r="AB315" s="186" t="n">
        <f aca="false">IF(AND($F315="原始數據",$S315&lt;&gt;"Active"),1,0)</f>
        <v>0</v>
      </c>
      <c r="AC315" s="186" t="n">
        <f aca="false">IF(AND(ISNUMBER($K315),ISNUMBER($L315),ISNUMBER($Q315)),IF(OR($Q315&lt;MIN($K315,$L315),$Q315&gt;MAX($K315,$L315)),1,0),0)</f>
        <v>0</v>
      </c>
      <c r="AD315" s="186" t="n">
        <f aca="false">IF(AND(ISNUMBER($T315),$P315="高"),IF($T315=3,1,0),0)</f>
        <v>0</v>
      </c>
      <c r="AE315" s="186" t="n">
        <f aca="false">IF($S315="不存在",1,0)</f>
        <v>0</v>
      </c>
      <c r="AF315" s="35" t="n">
        <f aca="false">IF(OR($H315="—",$H315=""),"—",MATCH($H315,IDX_SrcID,0))</f>
        <v>298</v>
      </c>
      <c r="AG315" s="104" t="n">
        <f aca="false">IF(AND($P315="高",OR($AD315=1,$X315=1)),1,0)</f>
        <v>0</v>
      </c>
      <c r="AH315" s="104" t="n">
        <f aca="false">IF(AND($P315="高",$AG315=0,OR($F315&lt;&gt;"原始數據",$T315&lt;&gt;1)),1,0)</f>
        <v>0</v>
      </c>
      <c r="AI315" s="53" t="str">
        <f aca="false">IF(AND($P315="高",ISNUMBER($AF315)),INDEX(IDX_SrcDate,$AF315),"—")</f>
        <v>—</v>
      </c>
      <c r="AJ315" s="104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6" t="s">
        <v>3943</v>
      </c>
      <c r="B316" s="215" t="s">
        <v>3183</v>
      </c>
      <c r="C316" s="36" t="s">
        <v>3923</v>
      </c>
      <c r="D316" s="36" t="s">
        <v>3226</v>
      </c>
      <c r="E316" s="19" t="s">
        <v>426</v>
      </c>
      <c r="F316" s="215" t="s">
        <v>298</v>
      </c>
      <c r="G316" s="215" t="s">
        <v>3185</v>
      </c>
      <c r="H316" s="36" t="s">
        <v>3942</v>
      </c>
      <c r="I316" s="19" t="s">
        <v>3220</v>
      </c>
      <c r="J316" s="36" t="s">
        <v>587</v>
      </c>
      <c r="K316" s="215"/>
      <c r="L316" s="215"/>
      <c r="M316" s="36" t="s">
        <v>587</v>
      </c>
      <c r="N316" s="19" t="s">
        <v>3318</v>
      </c>
      <c r="O316" s="6" t="s">
        <v>587</v>
      </c>
      <c r="P316" s="215" t="s">
        <v>1116</v>
      </c>
      <c r="Q316" s="41" t="n">
        <f aca="false">Calib!D14</f>
        <v>130</v>
      </c>
      <c r="R316" s="185" t="n">
        <f aca="false">SRC_PERF_010_Spd</f>
        <v>130</v>
      </c>
      <c r="S316" s="35" t="str">
        <f aca="false">IF(ISNUMBER($AF316),INDEX(IDX_SrcStat,$AF316),"—")</f>
        <v>Active</v>
      </c>
      <c r="T316" s="35" t="n">
        <f aca="false">IF(ISNUMBER($AF316),INDEX(IDX_SrcGrade,$AF316),"—")</f>
        <v>2</v>
      </c>
      <c r="U316" s="35" t="s">
        <v>3222</v>
      </c>
      <c r="V316" s="186" t="n">
        <f aca="false">IF(AND($F316="原始數據",$U316&lt;&gt;"連結 SRC"),1,0)</f>
        <v>0</v>
      </c>
      <c r="W316" s="186" t="n">
        <f aca="false">IF(AND($F316="Analogy",OR($H316="—",$H316="")),1,0)</f>
        <v>0</v>
      </c>
      <c r="X316" s="186" t="n">
        <f aca="false">IF(AND(OR($F316="Analogy",$F316="Assumed"),$G316&lt;&gt;"低",$G316&lt;&gt;"高",NOT(ISNUMBER($K316)),NOT(ISNUMBER($L316)),OR($M316="—",$M316="")),1,0)</f>
        <v>0</v>
      </c>
      <c r="Y316" s="186" t="n">
        <f aca="false">IF(AND(OR($F316="Analogy",$F316="Assumed",$F316="Derived（待改公式）",$F316="Derived（公式）"),OR($N316="—",$N316="",$N316=0)),1,0)</f>
        <v>0</v>
      </c>
      <c r="Z316" s="186" t="n">
        <f aca="false">IF(AND($F316="Decision",OR($J316="—",$J316="")),1,0)</f>
        <v>0</v>
      </c>
      <c r="AA316" s="183" t="n">
        <f aca="false">IF(OR($J316="—",$J316=""),0,IF(COUNTIF(Decisions!$A$5:$A$300,$J316)=0,1,0))</f>
        <v>0</v>
      </c>
      <c r="AB316" s="186" t="n">
        <f aca="false">IF(AND($F316="原始數據",$S316&lt;&gt;"Active"),1,0)</f>
        <v>0</v>
      </c>
      <c r="AC316" s="186" t="n">
        <f aca="false">IF(AND(ISNUMBER($K316),ISNUMBER($L316),ISNUMBER($Q316)),IF(OR($Q316&lt;MIN($K316,$L316),$Q316&gt;MAX($K316,$L316)),1,0),0)</f>
        <v>0</v>
      </c>
      <c r="AD316" s="186" t="n">
        <f aca="false">IF(AND(ISNUMBER($T316),$P316="高"),IF($T316=3,1,0),0)</f>
        <v>0</v>
      </c>
      <c r="AE316" s="186" t="n">
        <f aca="false">IF($S316="不存在",1,0)</f>
        <v>0</v>
      </c>
      <c r="AF316" s="35" t="n">
        <f aca="false">IF(OR($H316="—",$H316=""),"—",MATCH($H316,IDX_SrcID,0))</f>
        <v>298</v>
      </c>
      <c r="AG316" s="104" t="n">
        <f aca="false">IF(AND($P316="高",OR($AD316=1,$X316=1)),1,0)</f>
        <v>0</v>
      </c>
      <c r="AH316" s="104" t="n">
        <f aca="false">IF(AND($P316="高",$AG316=0,OR($F316&lt;&gt;"原始數據",$T316&lt;&gt;1)),1,0)</f>
        <v>1</v>
      </c>
      <c r="AI316" s="53" t="str">
        <f aca="false">IF(AND($P316="高",ISNUMBER($AF316)),INDEX(IDX_SrcDate,$AF316),"—")</f>
        <v>2026-10-05</v>
      </c>
      <c r="AJ316" s="104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6" t="s">
        <v>3944</v>
      </c>
      <c r="B317" s="215" t="s">
        <v>3183</v>
      </c>
      <c r="C317" s="36" t="s">
        <v>3923</v>
      </c>
      <c r="D317" s="36" t="s">
        <v>3694</v>
      </c>
      <c r="E317" s="6" t="s">
        <v>427</v>
      </c>
      <c r="F317" s="215" t="s">
        <v>298</v>
      </c>
      <c r="G317" s="215" t="s">
        <v>3185</v>
      </c>
      <c r="H317" s="36" t="s">
        <v>3942</v>
      </c>
      <c r="I317" s="19" t="s">
        <v>3220</v>
      </c>
      <c r="J317" s="36" t="s">
        <v>587</v>
      </c>
      <c r="K317" s="215"/>
      <c r="L317" s="215"/>
      <c r="M317" s="36" t="s">
        <v>587</v>
      </c>
      <c r="N317" s="19" t="s">
        <v>3318</v>
      </c>
      <c r="O317" s="6" t="s">
        <v>587</v>
      </c>
      <c r="P317" s="215" t="s">
        <v>1116</v>
      </c>
      <c r="Q317" s="41" t="n">
        <f aca="false">Calib!D15</f>
        <v>8192</v>
      </c>
      <c r="R317" s="185" t="n">
        <f aca="false">SRC_PERF_010_ISL</f>
        <v>8192</v>
      </c>
      <c r="S317" s="35" t="str">
        <f aca="false">IF(ISNUMBER($AF317),INDEX(IDX_SrcStat,$AF317),"—")</f>
        <v>Active</v>
      </c>
      <c r="T317" s="35" t="n">
        <f aca="false">IF(ISNUMBER($AF317),INDEX(IDX_SrcGrade,$AF317),"—")</f>
        <v>2</v>
      </c>
      <c r="U317" s="35" t="s">
        <v>3222</v>
      </c>
      <c r="V317" s="186" t="n">
        <f aca="false">IF(AND($F317="原始數據",$U317&lt;&gt;"連結 SRC"),1,0)</f>
        <v>0</v>
      </c>
      <c r="W317" s="186" t="n">
        <f aca="false">IF(AND($F317="Analogy",OR($H317="—",$H317="")),1,0)</f>
        <v>0</v>
      </c>
      <c r="X317" s="186" t="n">
        <f aca="false">IF(AND(OR($F317="Analogy",$F317="Assumed"),$G317&lt;&gt;"低",$G317&lt;&gt;"高",NOT(ISNUMBER($K317)),NOT(ISNUMBER($L317)),OR($M317="—",$M317="")),1,0)</f>
        <v>0</v>
      </c>
      <c r="Y317" s="186" t="n">
        <f aca="false">IF(AND(OR($F317="Analogy",$F317="Assumed",$F317="Derived（待改公式）",$F317="Derived（公式）"),OR($N317="—",$N317="",$N317=0)),1,0)</f>
        <v>0</v>
      </c>
      <c r="Z317" s="186" t="n">
        <f aca="false">IF(AND($F317="Decision",OR($J317="—",$J317="")),1,0)</f>
        <v>0</v>
      </c>
      <c r="AA317" s="183" t="n">
        <f aca="false">IF(OR($J317="—",$J317=""),0,IF(COUNTIF(Decisions!$A$5:$A$300,$J317)=0,1,0))</f>
        <v>0</v>
      </c>
      <c r="AB317" s="186" t="n">
        <f aca="false">IF(AND($F317="原始數據",$S317&lt;&gt;"Active"),1,0)</f>
        <v>0</v>
      </c>
      <c r="AC317" s="186" t="n">
        <f aca="false">IF(AND(ISNUMBER($K317),ISNUMBER($L317),ISNUMBER($Q317)),IF(OR($Q317&lt;MIN($K317,$L317),$Q317&gt;MAX($K317,$L317)),1,0),0)</f>
        <v>0</v>
      </c>
      <c r="AD317" s="186" t="n">
        <f aca="false">IF(AND(ISNUMBER($T317),$P317="高"),IF($T317=3,1,0),0)</f>
        <v>0</v>
      </c>
      <c r="AE317" s="186" t="n">
        <f aca="false">IF($S317="不存在",1,0)</f>
        <v>0</v>
      </c>
      <c r="AF317" s="35" t="n">
        <f aca="false">IF(OR($H317="—",$H317=""),"—",MATCH($H317,IDX_SrcID,0))</f>
        <v>298</v>
      </c>
      <c r="AG317" s="104" t="n">
        <f aca="false">IF(AND($P317="高",OR($AD317=1,$X317=1)),1,0)</f>
        <v>0</v>
      </c>
      <c r="AH317" s="104" t="n">
        <f aca="false">IF(AND($P317="高",$AG317=0,OR($F317&lt;&gt;"原始數據",$T317&lt;&gt;1)),1,0)</f>
        <v>1</v>
      </c>
      <c r="AI317" s="53" t="str">
        <f aca="false">IF(AND($P317="高",ISNUMBER($AF317)),INDEX(IDX_SrcDate,$AF317),"—")</f>
        <v>2026-10-05</v>
      </c>
      <c r="AJ317" s="104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6" t="s">
        <v>3945</v>
      </c>
      <c r="B318" s="215" t="s">
        <v>3183</v>
      </c>
      <c r="C318" s="36" t="s">
        <v>3923</v>
      </c>
      <c r="D318" s="36" t="s">
        <v>3232</v>
      </c>
      <c r="E318" s="6" t="s">
        <v>428</v>
      </c>
      <c r="F318" s="215" t="s">
        <v>298</v>
      </c>
      <c r="G318" s="215" t="s">
        <v>3185</v>
      </c>
      <c r="H318" s="36" t="s">
        <v>3942</v>
      </c>
      <c r="I318" s="19" t="s">
        <v>3220</v>
      </c>
      <c r="J318" s="36" t="s">
        <v>587</v>
      </c>
      <c r="K318" s="215"/>
      <c r="L318" s="215"/>
      <c r="M318" s="36" t="s">
        <v>587</v>
      </c>
      <c r="N318" s="19" t="s">
        <v>3318</v>
      </c>
      <c r="O318" s="6" t="s">
        <v>587</v>
      </c>
      <c r="P318" s="215" t="s">
        <v>1116</v>
      </c>
      <c r="Q318" s="41" t="n">
        <f aca="false">Calib!D16</f>
        <v>1024</v>
      </c>
      <c r="R318" s="185" t="n">
        <f aca="false">SRC_PERF_010_OSL</f>
        <v>1024</v>
      </c>
      <c r="S318" s="35" t="str">
        <f aca="false">IF(ISNUMBER($AF318),INDEX(IDX_SrcStat,$AF318),"—")</f>
        <v>Active</v>
      </c>
      <c r="T318" s="35" t="n">
        <f aca="false">IF(ISNUMBER($AF318),INDEX(IDX_SrcGrade,$AF318),"—")</f>
        <v>2</v>
      </c>
      <c r="U318" s="35" t="s">
        <v>3222</v>
      </c>
      <c r="V318" s="186" t="n">
        <f aca="false">IF(AND($F318="原始數據",$U318&lt;&gt;"連結 SRC"),1,0)</f>
        <v>0</v>
      </c>
      <c r="W318" s="186" t="n">
        <f aca="false">IF(AND($F318="Analogy",OR($H318="—",$H318="")),1,0)</f>
        <v>0</v>
      </c>
      <c r="X318" s="186" t="n">
        <f aca="false">IF(AND(OR($F318="Analogy",$F318="Assumed"),$G318&lt;&gt;"低",$G318&lt;&gt;"高",NOT(ISNUMBER($K318)),NOT(ISNUMBER($L318)),OR($M318="—",$M318="")),1,0)</f>
        <v>0</v>
      </c>
      <c r="Y318" s="186" t="n">
        <f aca="false">IF(AND(OR($F318="Analogy",$F318="Assumed",$F318="Derived（待改公式）",$F318="Derived（公式）"),OR($N318="—",$N318="",$N318=0)),1,0)</f>
        <v>0</v>
      </c>
      <c r="Z318" s="186" t="n">
        <f aca="false">IF(AND($F318="Decision",OR($J318="—",$J318="")),1,0)</f>
        <v>0</v>
      </c>
      <c r="AA318" s="183" t="n">
        <f aca="false">IF(OR($J318="—",$J318=""),0,IF(COUNTIF(Decisions!$A$5:$A$300,$J318)=0,1,0))</f>
        <v>0</v>
      </c>
      <c r="AB318" s="186" t="n">
        <f aca="false">IF(AND($F318="原始數據",$S318&lt;&gt;"Active"),1,0)</f>
        <v>0</v>
      </c>
      <c r="AC318" s="186" t="n">
        <f aca="false">IF(AND(ISNUMBER($K318),ISNUMBER($L318),ISNUMBER($Q318)),IF(OR($Q318&lt;MIN($K318,$L318),$Q318&gt;MAX($K318,$L318)),1,0),0)</f>
        <v>0</v>
      </c>
      <c r="AD318" s="186" t="n">
        <f aca="false">IF(AND(ISNUMBER($T318),$P318="高"),IF($T318=3,1,0),0)</f>
        <v>0</v>
      </c>
      <c r="AE318" s="186" t="n">
        <f aca="false">IF($S318="不存在",1,0)</f>
        <v>0</v>
      </c>
      <c r="AF318" s="35" t="n">
        <f aca="false">IF(OR($H318="—",$H318=""),"—",MATCH($H318,IDX_SrcID,0))</f>
        <v>298</v>
      </c>
      <c r="AG318" s="104" t="n">
        <f aca="false">IF(AND($P318="高",OR($AD318=1,$X318=1)),1,0)</f>
        <v>0</v>
      </c>
      <c r="AH318" s="104" t="n">
        <f aca="false">IF(AND($P318="高",$AG318=0,OR($F318&lt;&gt;"原始數據",$T318&lt;&gt;1)),1,0)</f>
        <v>1</v>
      </c>
      <c r="AI318" s="53" t="str">
        <f aca="false">IF(AND($P318="高",ISNUMBER($AF318)),INDEX(IDX_SrcDate,$AF318),"—")</f>
        <v>2026-10-05</v>
      </c>
      <c r="AJ318" s="104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6" t="s">
        <v>3946</v>
      </c>
      <c r="B319" s="215" t="s">
        <v>3183</v>
      </c>
      <c r="C319" s="36" t="s">
        <v>3923</v>
      </c>
      <c r="D319" s="36" t="s">
        <v>3238</v>
      </c>
      <c r="E319" s="19" t="s">
        <v>3938</v>
      </c>
      <c r="F319" s="215" t="s">
        <v>298</v>
      </c>
      <c r="G319" s="215" t="s">
        <v>3185</v>
      </c>
      <c r="H319" s="36" t="s">
        <v>3942</v>
      </c>
      <c r="I319" s="19" t="s">
        <v>3947</v>
      </c>
      <c r="J319" s="36" t="s">
        <v>587</v>
      </c>
      <c r="K319" s="215"/>
      <c r="L319" s="215"/>
      <c r="M319" s="36" t="s">
        <v>587</v>
      </c>
      <c r="N319" s="19" t="s">
        <v>3318</v>
      </c>
      <c r="O319" s="6" t="s">
        <v>3948</v>
      </c>
      <c r="P319" s="215" t="s">
        <v>1116</v>
      </c>
      <c r="Q319" s="41" t="n">
        <f aca="false">Calib!D17</f>
        <v>3405.2</v>
      </c>
      <c r="R319" s="185" t="n">
        <f aca="false">SRC_PERF_010</f>
        <v>3405.2</v>
      </c>
      <c r="S319" s="35" t="str">
        <f aca="false">IF(ISNUMBER($AF319),INDEX(IDX_SrcStat,$AF319),"—")</f>
        <v>Active</v>
      </c>
      <c r="T319" s="35" t="n">
        <f aca="false">IF(ISNUMBER($AF319),INDEX(IDX_SrcGrade,$AF319),"—")</f>
        <v>2</v>
      </c>
      <c r="U319" s="35" t="s">
        <v>3222</v>
      </c>
      <c r="V319" s="186" t="n">
        <f aca="false">IF(AND($F319="原始數據",$U319&lt;&gt;"連結 SRC"),1,0)</f>
        <v>0</v>
      </c>
      <c r="W319" s="186" t="n">
        <f aca="false">IF(AND($F319="Analogy",OR($H319="—",$H319="")),1,0)</f>
        <v>0</v>
      </c>
      <c r="X319" s="186" t="n">
        <f aca="false">IF(AND(OR($F319="Analogy",$F319="Assumed"),$G319&lt;&gt;"低",$G319&lt;&gt;"高",NOT(ISNUMBER($K319)),NOT(ISNUMBER($L319)),OR($M319="—",$M319="")),1,0)</f>
        <v>0</v>
      </c>
      <c r="Y319" s="186" t="n">
        <f aca="false">IF(AND(OR($F319="Analogy",$F319="Assumed",$F319="Derived（待改公式）",$F319="Derived（公式）"),OR($N319="—",$N319="",$N319=0)),1,0)</f>
        <v>0</v>
      </c>
      <c r="Z319" s="186" t="n">
        <f aca="false">IF(AND($F319="Decision",OR($J319="—",$J319="")),1,0)</f>
        <v>0</v>
      </c>
      <c r="AA319" s="183" t="n">
        <f aca="false">IF(OR($J319="—",$J319=""),0,IF(COUNTIF(Decisions!$A$5:$A$300,$J319)=0,1,0))</f>
        <v>0</v>
      </c>
      <c r="AB319" s="186" t="n">
        <f aca="false">IF(AND($F319="原始數據",$S319&lt;&gt;"Active"),1,0)</f>
        <v>0</v>
      </c>
      <c r="AC319" s="186" t="n">
        <f aca="false">IF(AND(ISNUMBER($K319),ISNUMBER($L319),ISNUMBER($Q319)),IF(OR($Q319&lt;MIN($K319,$L319),$Q319&gt;MAX($K319,$L319)),1,0),0)</f>
        <v>0</v>
      </c>
      <c r="AD319" s="186" t="n">
        <f aca="false">IF(AND(ISNUMBER($T319),$P319="高"),IF($T319=3,1,0),0)</f>
        <v>0</v>
      </c>
      <c r="AE319" s="186" t="n">
        <f aca="false">IF($S319="不存在",1,0)</f>
        <v>0</v>
      </c>
      <c r="AF319" s="35" t="n">
        <f aca="false">IF(OR($H319="—",$H319=""),"—",MATCH($H319,IDX_SrcID,0))</f>
        <v>298</v>
      </c>
      <c r="AG319" s="104" t="n">
        <f aca="false">IF(AND($P319="高",OR($AD319=1,$X319=1)),1,0)</f>
        <v>0</v>
      </c>
      <c r="AH319" s="104" t="n">
        <f aca="false">IF(AND($P319="高",$AG319=0,OR($F319&lt;&gt;"原始數據",$T319&lt;&gt;1)),1,0)</f>
        <v>1</v>
      </c>
      <c r="AI319" s="53" t="str">
        <f aca="false">IF(AND($P319="高",ISNUMBER($AF319)),INDEX(IDX_SrcDate,$AF319),"—")</f>
        <v>2026-10-05</v>
      </c>
      <c r="AJ319" s="104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6" t="s">
        <v>3949</v>
      </c>
      <c r="B320" s="215" t="s">
        <v>3183</v>
      </c>
      <c r="C320" s="36" t="s">
        <v>3923</v>
      </c>
      <c r="D320" s="36" t="s">
        <v>3077</v>
      </c>
      <c r="E320" s="6" t="s">
        <v>425</v>
      </c>
      <c r="F320" s="215" t="s">
        <v>298</v>
      </c>
      <c r="G320" s="215" t="s">
        <v>3185</v>
      </c>
      <c r="H320" s="36" t="s">
        <v>3950</v>
      </c>
      <c r="I320" s="19" t="s">
        <v>3220</v>
      </c>
      <c r="J320" s="36" t="s">
        <v>587</v>
      </c>
      <c r="K320" s="215"/>
      <c r="L320" s="215"/>
      <c r="M320" s="36" t="s">
        <v>587</v>
      </c>
      <c r="N320" s="19" t="s">
        <v>3318</v>
      </c>
      <c r="O320" s="6" t="s">
        <v>587</v>
      </c>
      <c r="P320" s="215" t="s">
        <v>3188</v>
      </c>
      <c r="Q320" s="183" t="n">
        <f aca="false">Calib!E13</f>
        <v>1</v>
      </c>
      <c r="R320" s="185" t="n">
        <f aca="false">SRC_PERF_004_MTP</f>
        <v>1</v>
      </c>
      <c r="S320" s="35" t="str">
        <f aca="false">IF(ISNUMBER($AF320),INDEX(IDX_SrcStat,$AF320),"—")</f>
        <v>Active</v>
      </c>
      <c r="T320" s="35" t="n">
        <f aca="false">IF(ISNUMBER($AF320),INDEX(IDX_SrcGrade,$AF320),"—")</f>
        <v>1</v>
      </c>
      <c r="U320" s="35" t="s">
        <v>3222</v>
      </c>
      <c r="V320" s="186" t="n">
        <f aca="false">IF(AND($F320="原始數據",$U320&lt;&gt;"連結 SRC"),1,0)</f>
        <v>0</v>
      </c>
      <c r="W320" s="186" t="n">
        <f aca="false">IF(AND($F320="Analogy",OR($H320="—",$H320="")),1,0)</f>
        <v>0</v>
      </c>
      <c r="X320" s="186" t="n">
        <f aca="false">IF(AND(OR($F320="Analogy",$F320="Assumed"),$G320&lt;&gt;"低",$G320&lt;&gt;"高",NOT(ISNUMBER($K320)),NOT(ISNUMBER($L320)),OR($M320="—",$M320="")),1,0)</f>
        <v>0</v>
      </c>
      <c r="Y320" s="186" t="n">
        <f aca="false">IF(AND(OR($F320="Analogy",$F320="Assumed",$F320="Derived（待改公式）",$F320="Derived（公式）"),OR($N320="—",$N320="",$N320=0)),1,0)</f>
        <v>0</v>
      </c>
      <c r="Z320" s="186" t="n">
        <f aca="false">IF(AND($F320="Decision",OR($J320="—",$J320="")),1,0)</f>
        <v>0</v>
      </c>
      <c r="AA320" s="183" t="n">
        <f aca="false">IF(OR($J320="—",$J320=""),0,IF(COUNTIF(Decisions!$A$5:$A$300,$J320)=0,1,0))</f>
        <v>0</v>
      </c>
      <c r="AB320" s="186" t="n">
        <f aca="false">IF(AND($F320="原始數據",$S320&lt;&gt;"Active"),1,0)</f>
        <v>0</v>
      </c>
      <c r="AC320" s="186" t="n">
        <f aca="false">IF(AND(ISNUMBER($K320),ISNUMBER($L320),ISNUMBER($Q320)),IF(OR($Q320&lt;MIN($K320,$L320),$Q320&gt;MAX($K320,$L320)),1,0),0)</f>
        <v>0</v>
      </c>
      <c r="AD320" s="186" t="n">
        <f aca="false">IF(AND(ISNUMBER($T320),$P320="高"),IF($T320=3,1,0),0)</f>
        <v>0</v>
      </c>
      <c r="AE320" s="186" t="n">
        <f aca="false">IF($S320="不存在",1,0)</f>
        <v>0</v>
      </c>
      <c r="AF320" s="35" t="n">
        <f aca="false">IF(OR($H320="—",$H320=""),"—",MATCH($H320,IDX_SrcID,0))</f>
        <v>292</v>
      </c>
      <c r="AG320" s="104" t="n">
        <f aca="false">IF(AND($P320="高",OR($AD320=1,$X320=1)),1,0)</f>
        <v>0</v>
      </c>
      <c r="AH320" s="104" t="n">
        <f aca="false">IF(AND($P320="高",$AG320=0,OR($F320&lt;&gt;"原始數據",$T320&lt;&gt;1)),1,0)</f>
        <v>0</v>
      </c>
      <c r="AI320" s="53" t="str">
        <f aca="false">IF(AND($P320="高",ISNUMBER($AF320)),INDEX(IDX_SrcDate,$AF320),"—")</f>
        <v>—</v>
      </c>
      <c r="AJ320" s="104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6" t="s">
        <v>3951</v>
      </c>
      <c r="B321" s="215" t="s">
        <v>3183</v>
      </c>
      <c r="C321" s="36" t="s">
        <v>3923</v>
      </c>
      <c r="D321" s="36" t="s">
        <v>3224</v>
      </c>
      <c r="E321" s="19" t="s">
        <v>426</v>
      </c>
      <c r="F321" s="215" t="s">
        <v>298</v>
      </c>
      <c r="G321" s="215" t="s">
        <v>3185</v>
      </c>
      <c r="H321" s="36" t="s">
        <v>3950</v>
      </c>
      <c r="I321" s="19" t="s">
        <v>3220</v>
      </c>
      <c r="J321" s="36" t="s">
        <v>587</v>
      </c>
      <c r="K321" s="215"/>
      <c r="L321" s="215"/>
      <c r="M321" s="36" t="s">
        <v>587</v>
      </c>
      <c r="N321" s="19" t="s">
        <v>3318</v>
      </c>
      <c r="O321" s="6" t="s">
        <v>587</v>
      </c>
      <c r="P321" s="215" t="s">
        <v>1116</v>
      </c>
      <c r="Q321" s="41" t="n">
        <f aca="false">Calib!E14</f>
        <v>50</v>
      </c>
      <c r="R321" s="185" t="n">
        <f aca="false">SRC_PERF_004_Spd</f>
        <v>50</v>
      </c>
      <c r="S321" s="35" t="str">
        <f aca="false">IF(ISNUMBER($AF321),INDEX(IDX_SrcStat,$AF321),"—")</f>
        <v>Active</v>
      </c>
      <c r="T321" s="35" t="n">
        <f aca="false">IF(ISNUMBER($AF321),INDEX(IDX_SrcGrade,$AF321),"—")</f>
        <v>1</v>
      </c>
      <c r="U321" s="35" t="s">
        <v>3222</v>
      </c>
      <c r="V321" s="186" t="n">
        <f aca="false">IF(AND($F321="原始數據",$U321&lt;&gt;"連結 SRC"),1,0)</f>
        <v>0</v>
      </c>
      <c r="W321" s="186" t="n">
        <f aca="false">IF(AND($F321="Analogy",OR($H321="—",$H321="")),1,0)</f>
        <v>0</v>
      </c>
      <c r="X321" s="186" t="n">
        <f aca="false">IF(AND(OR($F321="Analogy",$F321="Assumed"),$G321&lt;&gt;"低",$G321&lt;&gt;"高",NOT(ISNUMBER($K321)),NOT(ISNUMBER($L321)),OR($M321="—",$M321="")),1,0)</f>
        <v>0</v>
      </c>
      <c r="Y321" s="186" t="n">
        <f aca="false">IF(AND(OR($F321="Analogy",$F321="Assumed",$F321="Derived（待改公式）",$F321="Derived（公式）"),OR($N321="—",$N321="",$N321=0)),1,0)</f>
        <v>0</v>
      </c>
      <c r="Z321" s="186" t="n">
        <f aca="false">IF(AND($F321="Decision",OR($J321="—",$J321="")),1,0)</f>
        <v>0</v>
      </c>
      <c r="AA321" s="183" t="n">
        <f aca="false">IF(OR($J321="—",$J321=""),0,IF(COUNTIF(Decisions!$A$5:$A$300,$J321)=0,1,0))</f>
        <v>0</v>
      </c>
      <c r="AB321" s="186" t="n">
        <f aca="false">IF(AND($F321="原始數據",$S321&lt;&gt;"Active"),1,0)</f>
        <v>0</v>
      </c>
      <c r="AC321" s="186" t="n">
        <f aca="false">IF(AND(ISNUMBER($K321),ISNUMBER($L321),ISNUMBER($Q321)),IF(OR($Q321&lt;MIN($K321,$L321),$Q321&gt;MAX($K321,$L321)),1,0),0)</f>
        <v>0</v>
      </c>
      <c r="AD321" s="186" t="n">
        <f aca="false">IF(AND(ISNUMBER($T321),$P321="高"),IF($T321=3,1,0),0)</f>
        <v>0</v>
      </c>
      <c r="AE321" s="186" t="n">
        <f aca="false">IF($S321="不存在",1,0)</f>
        <v>0</v>
      </c>
      <c r="AF321" s="35" t="n">
        <f aca="false">IF(OR($H321="—",$H321=""),"—",MATCH($H321,IDX_SrcID,0))</f>
        <v>292</v>
      </c>
      <c r="AG321" s="104" t="n">
        <f aca="false">IF(AND($P321="高",OR($AD321=1,$X321=1)),1,0)</f>
        <v>0</v>
      </c>
      <c r="AH321" s="104" t="n">
        <f aca="false">IF(AND($P321="高",$AG321=0,OR($F321&lt;&gt;"原始數據",$T321&lt;&gt;1)),1,0)</f>
        <v>0</v>
      </c>
      <c r="AI321" s="53" t="str">
        <f aca="false">IF(AND($P321="高",ISNUMBER($AF321)),INDEX(IDX_SrcDate,$AF321),"—")</f>
        <v>—</v>
      </c>
      <c r="AJ321" s="104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6" t="s">
        <v>3952</v>
      </c>
      <c r="B322" s="215" t="s">
        <v>3183</v>
      </c>
      <c r="C322" s="36" t="s">
        <v>3923</v>
      </c>
      <c r="D322" s="36" t="s">
        <v>3742</v>
      </c>
      <c r="E322" s="6" t="s">
        <v>427</v>
      </c>
      <c r="F322" s="215" t="s">
        <v>298</v>
      </c>
      <c r="G322" s="215" t="s">
        <v>3185</v>
      </c>
      <c r="H322" s="36" t="s">
        <v>3950</v>
      </c>
      <c r="I322" s="19" t="s">
        <v>3220</v>
      </c>
      <c r="J322" s="36" t="s">
        <v>587</v>
      </c>
      <c r="K322" s="215"/>
      <c r="L322" s="215"/>
      <c r="M322" s="36" t="s">
        <v>587</v>
      </c>
      <c r="N322" s="19" t="s">
        <v>3318</v>
      </c>
      <c r="O322" s="6" t="s">
        <v>587</v>
      </c>
      <c r="P322" s="215" t="s">
        <v>1116</v>
      </c>
      <c r="Q322" s="41" t="n">
        <f aca="false">Calib!E15</f>
        <v>8192</v>
      </c>
      <c r="R322" s="185" t="n">
        <f aca="false">SRC_PERF_004_ISL</f>
        <v>8192</v>
      </c>
      <c r="S322" s="35" t="str">
        <f aca="false">IF(ISNUMBER($AF322),INDEX(IDX_SrcStat,$AF322),"—")</f>
        <v>Active</v>
      </c>
      <c r="T322" s="35" t="n">
        <f aca="false">IF(ISNUMBER($AF322),INDEX(IDX_SrcGrade,$AF322),"—")</f>
        <v>1</v>
      </c>
      <c r="U322" s="35" t="s">
        <v>3222</v>
      </c>
      <c r="V322" s="186" t="n">
        <f aca="false">IF(AND($F322="原始數據",$U322&lt;&gt;"連結 SRC"),1,0)</f>
        <v>0</v>
      </c>
      <c r="W322" s="186" t="n">
        <f aca="false">IF(AND($F322="Analogy",OR($H322="—",$H322="")),1,0)</f>
        <v>0</v>
      </c>
      <c r="X322" s="186" t="n">
        <f aca="false">IF(AND(OR($F322="Analogy",$F322="Assumed"),$G322&lt;&gt;"低",$G322&lt;&gt;"高",NOT(ISNUMBER($K322)),NOT(ISNUMBER($L322)),OR($M322="—",$M322="")),1,0)</f>
        <v>0</v>
      </c>
      <c r="Y322" s="186" t="n">
        <f aca="false">IF(AND(OR($F322="Analogy",$F322="Assumed",$F322="Derived（待改公式）",$F322="Derived（公式）"),OR($N322="—",$N322="",$N322=0)),1,0)</f>
        <v>0</v>
      </c>
      <c r="Z322" s="186" t="n">
        <f aca="false">IF(AND($F322="Decision",OR($J322="—",$J322="")),1,0)</f>
        <v>0</v>
      </c>
      <c r="AA322" s="183" t="n">
        <f aca="false">IF(OR($J322="—",$J322=""),0,IF(COUNTIF(Decisions!$A$5:$A$300,$J322)=0,1,0))</f>
        <v>0</v>
      </c>
      <c r="AB322" s="186" t="n">
        <f aca="false">IF(AND($F322="原始數據",$S322&lt;&gt;"Active"),1,0)</f>
        <v>0</v>
      </c>
      <c r="AC322" s="186" t="n">
        <f aca="false">IF(AND(ISNUMBER($K322),ISNUMBER($L322),ISNUMBER($Q322)),IF(OR($Q322&lt;MIN($K322,$L322),$Q322&gt;MAX($K322,$L322)),1,0),0)</f>
        <v>0</v>
      </c>
      <c r="AD322" s="186" t="n">
        <f aca="false">IF(AND(ISNUMBER($T322),$P322="高"),IF($T322=3,1,0),0)</f>
        <v>0</v>
      </c>
      <c r="AE322" s="186" t="n">
        <f aca="false">IF($S322="不存在",1,0)</f>
        <v>0</v>
      </c>
      <c r="AF322" s="35" t="n">
        <f aca="false">IF(OR($H322="—",$H322=""),"—",MATCH($H322,IDX_SrcID,0))</f>
        <v>292</v>
      </c>
      <c r="AG322" s="104" t="n">
        <f aca="false">IF(AND($P322="高",OR($AD322=1,$X322=1)),1,0)</f>
        <v>0</v>
      </c>
      <c r="AH322" s="104" t="n">
        <f aca="false">IF(AND($P322="高",$AG322=0,OR($F322&lt;&gt;"原始數據",$T322&lt;&gt;1)),1,0)</f>
        <v>0</v>
      </c>
      <c r="AI322" s="53" t="str">
        <f aca="false">IF(AND($P322="高",ISNUMBER($AF322)),INDEX(IDX_SrcDate,$AF322),"—")</f>
        <v>—</v>
      </c>
      <c r="AJ322" s="104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6" t="s">
        <v>3953</v>
      </c>
      <c r="B323" s="215" t="s">
        <v>3183</v>
      </c>
      <c r="C323" s="36" t="s">
        <v>3923</v>
      </c>
      <c r="D323" s="36" t="s">
        <v>3230</v>
      </c>
      <c r="E323" s="6" t="s">
        <v>428</v>
      </c>
      <c r="F323" s="215" t="s">
        <v>298</v>
      </c>
      <c r="G323" s="215" t="s">
        <v>3185</v>
      </c>
      <c r="H323" s="36" t="s">
        <v>3950</v>
      </c>
      <c r="I323" s="19" t="s">
        <v>3220</v>
      </c>
      <c r="J323" s="36" t="s">
        <v>587</v>
      </c>
      <c r="K323" s="215"/>
      <c r="L323" s="215"/>
      <c r="M323" s="36" t="s">
        <v>587</v>
      </c>
      <c r="N323" s="19" t="s">
        <v>3318</v>
      </c>
      <c r="O323" s="6" t="s">
        <v>587</v>
      </c>
      <c r="P323" s="215" t="s">
        <v>1116</v>
      </c>
      <c r="Q323" s="41" t="n">
        <f aca="false">Calib!E16</f>
        <v>1024</v>
      </c>
      <c r="R323" s="185" t="n">
        <f aca="false">SRC_PERF_004_OSL</f>
        <v>1024</v>
      </c>
      <c r="S323" s="35" t="str">
        <f aca="false">IF(ISNUMBER($AF323),INDEX(IDX_SrcStat,$AF323),"—")</f>
        <v>Active</v>
      </c>
      <c r="T323" s="35" t="n">
        <f aca="false">IF(ISNUMBER($AF323),INDEX(IDX_SrcGrade,$AF323),"—")</f>
        <v>1</v>
      </c>
      <c r="U323" s="35" t="s">
        <v>3222</v>
      </c>
      <c r="V323" s="186" t="n">
        <f aca="false">IF(AND($F323="原始數據",$U323&lt;&gt;"連結 SRC"),1,0)</f>
        <v>0</v>
      </c>
      <c r="W323" s="186" t="n">
        <f aca="false">IF(AND($F323="Analogy",OR($H323="—",$H323="")),1,0)</f>
        <v>0</v>
      </c>
      <c r="X323" s="186" t="n">
        <f aca="false">IF(AND(OR($F323="Analogy",$F323="Assumed"),$G323&lt;&gt;"低",$G323&lt;&gt;"高",NOT(ISNUMBER($K323)),NOT(ISNUMBER($L323)),OR($M323="—",$M323="")),1,0)</f>
        <v>0</v>
      </c>
      <c r="Y323" s="186" t="n">
        <f aca="false">IF(AND(OR($F323="Analogy",$F323="Assumed",$F323="Derived（待改公式）",$F323="Derived（公式）"),OR($N323="—",$N323="",$N323=0)),1,0)</f>
        <v>0</v>
      </c>
      <c r="Z323" s="186" t="n">
        <f aca="false">IF(AND($F323="Decision",OR($J323="—",$J323="")),1,0)</f>
        <v>0</v>
      </c>
      <c r="AA323" s="183" t="n">
        <f aca="false">IF(OR($J323="—",$J323=""),0,IF(COUNTIF(Decisions!$A$5:$A$300,$J323)=0,1,0))</f>
        <v>0</v>
      </c>
      <c r="AB323" s="186" t="n">
        <f aca="false">IF(AND($F323="原始數據",$S323&lt;&gt;"Active"),1,0)</f>
        <v>0</v>
      </c>
      <c r="AC323" s="186" t="n">
        <f aca="false">IF(AND(ISNUMBER($K323),ISNUMBER($L323),ISNUMBER($Q323)),IF(OR($Q323&lt;MIN($K323,$L323),$Q323&gt;MAX($K323,$L323)),1,0),0)</f>
        <v>0</v>
      </c>
      <c r="AD323" s="186" t="n">
        <f aca="false">IF(AND(ISNUMBER($T323),$P323="高"),IF($T323=3,1,0),0)</f>
        <v>0</v>
      </c>
      <c r="AE323" s="186" t="n">
        <f aca="false">IF($S323="不存在",1,0)</f>
        <v>0</v>
      </c>
      <c r="AF323" s="35" t="n">
        <f aca="false">IF(OR($H323="—",$H323=""),"—",MATCH($H323,IDX_SrcID,0))</f>
        <v>292</v>
      </c>
      <c r="AG323" s="104" t="n">
        <f aca="false">IF(AND($P323="高",OR($AD323=1,$X323=1)),1,0)</f>
        <v>0</v>
      </c>
      <c r="AH323" s="104" t="n">
        <f aca="false">IF(AND($P323="高",$AG323=0,OR($F323&lt;&gt;"原始數據",$T323&lt;&gt;1)),1,0)</f>
        <v>0</v>
      </c>
      <c r="AI323" s="53" t="str">
        <f aca="false">IF(AND($P323="高",ISNUMBER($AF323)),INDEX(IDX_SrcDate,$AF323),"—")</f>
        <v>—</v>
      </c>
      <c r="AJ323" s="104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6" t="s">
        <v>3954</v>
      </c>
      <c r="B324" s="215" t="s">
        <v>3183</v>
      </c>
      <c r="C324" s="36" t="s">
        <v>3923</v>
      </c>
      <c r="D324" s="36" t="s">
        <v>3236</v>
      </c>
      <c r="E324" s="19" t="s">
        <v>3938</v>
      </c>
      <c r="F324" s="215" t="s">
        <v>298</v>
      </c>
      <c r="G324" s="215" t="s">
        <v>3185</v>
      </c>
      <c r="H324" s="36" t="s">
        <v>3950</v>
      </c>
      <c r="I324" s="19" t="s">
        <v>3220</v>
      </c>
      <c r="J324" s="36" t="s">
        <v>587</v>
      </c>
      <c r="K324" s="215"/>
      <c r="L324" s="215"/>
      <c r="M324" s="36" t="s">
        <v>587</v>
      </c>
      <c r="N324" s="19" t="s">
        <v>3318</v>
      </c>
      <c r="O324" s="6" t="s">
        <v>587</v>
      </c>
      <c r="P324" s="215" t="s">
        <v>1116</v>
      </c>
      <c r="Q324" s="41" t="n">
        <f aca="false">Calib!E17</f>
        <v>11200</v>
      </c>
      <c r="R324" s="185" t="n">
        <f aca="false">SRC_PERF_004</f>
        <v>11200</v>
      </c>
      <c r="S324" s="35" t="str">
        <f aca="false">IF(ISNUMBER($AF324),INDEX(IDX_SrcStat,$AF324),"—")</f>
        <v>Active</v>
      </c>
      <c r="T324" s="35" t="n">
        <f aca="false">IF(ISNUMBER($AF324),INDEX(IDX_SrcGrade,$AF324),"—")</f>
        <v>1</v>
      </c>
      <c r="U324" s="35" t="s">
        <v>3222</v>
      </c>
      <c r="V324" s="186" t="n">
        <f aca="false">IF(AND($F324="原始數據",$U324&lt;&gt;"連結 SRC"),1,0)</f>
        <v>0</v>
      </c>
      <c r="W324" s="186" t="n">
        <f aca="false">IF(AND($F324="Analogy",OR($H324="—",$H324="")),1,0)</f>
        <v>0</v>
      </c>
      <c r="X324" s="186" t="n">
        <f aca="false">IF(AND(OR($F324="Analogy",$F324="Assumed"),$G324&lt;&gt;"低",$G324&lt;&gt;"高",NOT(ISNUMBER($K324)),NOT(ISNUMBER($L324)),OR($M324="—",$M324="")),1,0)</f>
        <v>0</v>
      </c>
      <c r="Y324" s="186" t="n">
        <f aca="false">IF(AND(OR($F324="Analogy",$F324="Assumed",$F324="Derived（待改公式）",$F324="Derived（公式）"),OR($N324="—",$N324="",$N324=0)),1,0)</f>
        <v>0</v>
      </c>
      <c r="Z324" s="186" t="n">
        <f aca="false">IF(AND($F324="Decision",OR($J324="—",$J324="")),1,0)</f>
        <v>0</v>
      </c>
      <c r="AA324" s="183" t="n">
        <f aca="false">IF(OR($J324="—",$J324=""),0,IF(COUNTIF(Decisions!$A$5:$A$300,$J324)=0,1,0))</f>
        <v>0</v>
      </c>
      <c r="AB324" s="186" t="n">
        <f aca="false">IF(AND($F324="原始數據",$S324&lt;&gt;"Active"),1,0)</f>
        <v>0</v>
      </c>
      <c r="AC324" s="186" t="n">
        <f aca="false">IF(AND(ISNUMBER($K324),ISNUMBER($L324),ISNUMBER($Q324)),IF(OR($Q324&lt;MIN($K324,$L324),$Q324&gt;MAX($K324,$L324)),1,0),0)</f>
        <v>0</v>
      </c>
      <c r="AD324" s="186" t="n">
        <f aca="false">IF(AND(ISNUMBER($T324),$P324="高"),IF($T324=3,1,0),0)</f>
        <v>0</v>
      </c>
      <c r="AE324" s="186" t="n">
        <f aca="false">IF($S324="不存在",1,0)</f>
        <v>0</v>
      </c>
      <c r="AF324" s="35" t="n">
        <f aca="false">IF(OR($H324="—",$H324=""),"—",MATCH($H324,IDX_SrcID,0))</f>
        <v>292</v>
      </c>
      <c r="AG324" s="104" t="n">
        <f aca="false">IF(AND($P324="高",OR($AD324=1,$X324=1)),1,0)</f>
        <v>0</v>
      </c>
      <c r="AH324" s="104" t="n">
        <f aca="false">IF(AND($P324="高",$AG324=0,OR($F324&lt;&gt;"原始數據",$T324&lt;&gt;1)),1,0)</f>
        <v>0</v>
      </c>
      <c r="AI324" s="53" t="str">
        <f aca="false">IF(AND($P324="高",ISNUMBER($AF324)),INDEX(IDX_SrcDate,$AF324),"—")</f>
        <v>—</v>
      </c>
      <c r="AJ324" s="104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6" t="s">
        <v>3955</v>
      </c>
      <c r="B325" s="215" t="s">
        <v>3183</v>
      </c>
      <c r="C325" s="36" t="s">
        <v>3923</v>
      </c>
      <c r="D325" s="36" t="s">
        <v>3218</v>
      </c>
      <c r="E325" s="6" t="s">
        <v>425</v>
      </c>
      <c r="F325" s="215" t="s">
        <v>298</v>
      </c>
      <c r="G325" s="215" t="s">
        <v>3185</v>
      </c>
      <c r="H325" s="36" t="s">
        <v>3956</v>
      </c>
      <c r="I325" s="19" t="s">
        <v>3220</v>
      </c>
      <c r="J325" s="36" t="s">
        <v>587</v>
      </c>
      <c r="K325" s="215"/>
      <c r="L325" s="215"/>
      <c r="M325" s="36" t="s">
        <v>587</v>
      </c>
      <c r="N325" s="19" t="s">
        <v>3318</v>
      </c>
      <c r="O325" s="6" t="s">
        <v>587</v>
      </c>
      <c r="P325" s="215" t="s">
        <v>3188</v>
      </c>
      <c r="Q325" s="183" t="n">
        <f aca="false">Calib!F13</f>
        <v>0</v>
      </c>
      <c r="R325" s="185" t="n">
        <f aca="false">SRC_PERF_001_MTP</f>
        <v>0</v>
      </c>
      <c r="S325" s="35" t="str">
        <f aca="false">IF(ISNUMBER($AF325),INDEX(IDX_SrcStat,$AF325),"—")</f>
        <v>Active</v>
      </c>
      <c r="T325" s="35" t="n">
        <f aca="false">IF(ISNUMBER($AF325),INDEX(IDX_SrcGrade,$AF325),"—")</f>
        <v>1</v>
      </c>
      <c r="U325" s="35" t="s">
        <v>3222</v>
      </c>
      <c r="V325" s="186" t="n">
        <f aca="false">IF(AND($F325="原始數據",$U325&lt;&gt;"連結 SRC"),1,0)</f>
        <v>0</v>
      </c>
      <c r="W325" s="186" t="n">
        <f aca="false">IF(AND($F325="Analogy",OR($H325="—",$H325="")),1,0)</f>
        <v>0</v>
      </c>
      <c r="X325" s="186" t="n">
        <f aca="false">IF(AND(OR($F325="Analogy",$F325="Assumed"),$G325&lt;&gt;"低",$G325&lt;&gt;"高",NOT(ISNUMBER($K325)),NOT(ISNUMBER($L325)),OR($M325="—",$M325="")),1,0)</f>
        <v>0</v>
      </c>
      <c r="Y325" s="186" t="n">
        <f aca="false">IF(AND(OR($F325="Analogy",$F325="Assumed",$F325="Derived（待改公式）",$F325="Derived（公式）"),OR($N325="—",$N325="",$N325=0)),1,0)</f>
        <v>0</v>
      </c>
      <c r="Z325" s="186" t="n">
        <f aca="false">IF(AND($F325="Decision",OR($J325="—",$J325="")),1,0)</f>
        <v>0</v>
      </c>
      <c r="AA325" s="183" t="n">
        <f aca="false">IF(OR($J325="—",$J325=""),0,IF(COUNTIF(Decisions!$A$5:$A$300,$J325)=0,1,0))</f>
        <v>0</v>
      </c>
      <c r="AB325" s="186" t="n">
        <f aca="false">IF(AND($F325="原始數據",$S325&lt;&gt;"Active"),1,0)</f>
        <v>0</v>
      </c>
      <c r="AC325" s="186" t="n">
        <f aca="false">IF(AND(ISNUMBER($K325),ISNUMBER($L325),ISNUMBER($Q325)),IF(OR($Q325&lt;MIN($K325,$L325),$Q325&gt;MAX($K325,$L325)),1,0),0)</f>
        <v>0</v>
      </c>
      <c r="AD325" s="186" t="n">
        <f aca="false">IF(AND(ISNUMBER($T325),$P325="高"),IF($T325=3,1,0),0)</f>
        <v>0</v>
      </c>
      <c r="AE325" s="186" t="n">
        <f aca="false">IF($S325="不存在",1,0)</f>
        <v>0</v>
      </c>
      <c r="AF325" s="35" t="n">
        <f aca="false">IF(OR($H325="—",$H325=""),"—",MATCH($H325,IDX_SrcID,0))</f>
        <v>289</v>
      </c>
      <c r="AG325" s="104" t="n">
        <f aca="false">IF(AND($P325="高",OR($AD325=1,$X325=1)),1,0)</f>
        <v>0</v>
      </c>
      <c r="AH325" s="104" t="n">
        <f aca="false">IF(AND($P325="高",$AG325=0,OR($F325&lt;&gt;"原始數據",$T325&lt;&gt;1)),1,0)</f>
        <v>0</v>
      </c>
      <c r="AI325" s="53" t="str">
        <f aca="false">IF(AND($P325="高",ISNUMBER($AF325)),INDEX(IDX_SrcDate,$AF325),"—")</f>
        <v>—</v>
      </c>
      <c r="AJ325" s="104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6" t="s">
        <v>3957</v>
      </c>
      <c r="B326" s="215" t="s">
        <v>3183</v>
      </c>
      <c r="C326" s="36" t="s">
        <v>3923</v>
      </c>
      <c r="D326" s="36" t="s">
        <v>3228</v>
      </c>
      <c r="E326" s="19" t="s">
        <v>426</v>
      </c>
      <c r="F326" s="215" t="s">
        <v>298</v>
      </c>
      <c r="G326" s="215" t="s">
        <v>3185</v>
      </c>
      <c r="H326" s="36" t="s">
        <v>3956</v>
      </c>
      <c r="I326" s="19" t="s">
        <v>3220</v>
      </c>
      <c r="J326" s="36" t="s">
        <v>587</v>
      </c>
      <c r="K326" s="215"/>
      <c r="L326" s="215"/>
      <c r="M326" s="36" t="s">
        <v>587</v>
      </c>
      <c r="N326" s="19" t="s">
        <v>3318</v>
      </c>
      <c r="O326" s="6" t="s">
        <v>587</v>
      </c>
      <c r="P326" s="215" t="s">
        <v>1116</v>
      </c>
      <c r="Q326" s="41" t="n">
        <f aca="false">Calib!F14</f>
        <v>27</v>
      </c>
      <c r="R326" s="185" t="n">
        <f aca="false">SRC_PERF_001_Spd</f>
        <v>27</v>
      </c>
      <c r="S326" s="35" t="str">
        <f aca="false">IF(ISNUMBER($AF326),INDEX(IDX_SrcStat,$AF326),"—")</f>
        <v>Active</v>
      </c>
      <c r="T326" s="35" t="n">
        <f aca="false">IF(ISNUMBER($AF326),INDEX(IDX_SrcGrade,$AF326),"—")</f>
        <v>1</v>
      </c>
      <c r="U326" s="35" t="s">
        <v>3222</v>
      </c>
      <c r="V326" s="186" t="n">
        <f aca="false">IF(AND($F326="原始數據",$U326&lt;&gt;"連結 SRC"),1,0)</f>
        <v>0</v>
      </c>
      <c r="W326" s="186" t="n">
        <f aca="false">IF(AND($F326="Analogy",OR($H326="—",$H326="")),1,0)</f>
        <v>0</v>
      </c>
      <c r="X326" s="186" t="n">
        <f aca="false">IF(AND(OR($F326="Analogy",$F326="Assumed"),$G326&lt;&gt;"低",$G326&lt;&gt;"高",NOT(ISNUMBER($K326)),NOT(ISNUMBER($L326)),OR($M326="—",$M326="")),1,0)</f>
        <v>0</v>
      </c>
      <c r="Y326" s="186" t="n">
        <f aca="false">IF(AND(OR($F326="Analogy",$F326="Assumed",$F326="Derived（待改公式）",$F326="Derived（公式）"),OR($N326="—",$N326="",$N326=0)),1,0)</f>
        <v>0</v>
      </c>
      <c r="Z326" s="186" t="n">
        <f aca="false">IF(AND($F326="Decision",OR($J326="—",$J326="")),1,0)</f>
        <v>0</v>
      </c>
      <c r="AA326" s="183" t="n">
        <f aca="false">IF(OR($J326="—",$J326=""),0,IF(COUNTIF(Decisions!$A$5:$A$300,$J326)=0,1,0))</f>
        <v>0</v>
      </c>
      <c r="AB326" s="186" t="n">
        <f aca="false">IF(AND($F326="原始數據",$S326&lt;&gt;"Active"),1,0)</f>
        <v>0</v>
      </c>
      <c r="AC326" s="186" t="n">
        <f aca="false">IF(AND(ISNUMBER($K326),ISNUMBER($L326),ISNUMBER($Q326)),IF(OR($Q326&lt;MIN($K326,$L326),$Q326&gt;MAX($K326,$L326)),1,0),0)</f>
        <v>0</v>
      </c>
      <c r="AD326" s="186" t="n">
        <f aca="false">IF(AND(ISNUMBER($T326),$P326="高"),IF($T326=3,1,0),0)</f>
        <v>0</v>
      </c>
      <c r="AE326" s="186" t="n">
        <f aca="false">IF($S326="不存在",1,0)</f>
        <v>0</v>
      </c>
      <c r="AF326" s="35" t="n">
        <f aca="false">IF(OR($H326="—",$H326=""),"—",MATCH($H326,IDX_SrcID,0))</f>
        <v>289</v>
      </c>
      <c r="AG326" s="104" t="n">
        <f aca="false">IF(AND($P326="高",OR($AD326=1,$X326=1)),1,0)</f>
        <v>0</v>
      </c>
      <c r="AH326" s="104" t="n">
        <f aca="false">IF(AND($P326="高",$AG326=0,OR($F326&lt;&gt;"原始數據",$T326&lt;&gt;1)),1,0)</f>
        <v>0</v>
      </c>
      <c r="AI326" s="53" t="str">
        <f aca="false">IF(AND($P326="高",ISNUMBER($AF326)),INDEX(IDX_SrcDate,$AF326),"—")</f>
        <v>—</v>
      </c>
      <c r="AJ326" s="104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6" t="s">
        <v>3958</v>
      </c>
      <c r="B327" s="215" t="s">
        <v>3183</v>
      </c>
      <c r="C327" s="36" t="s">
        <v>3923</v>
      </c>
      <c r="D327" s="36" t="s">
        <v>3959</v>
      </c>
      <c r="E327" s="6" t="s">
        <v>427</v>
      </c>
      <c r="F327" s="215" t="s">
        <v>298</v>
      </c>
      <c r="G327" s="215" t="s">
        <v>3185</v>
      </c>
      <c r="H327" s="36" t="s">
        <v>3956</v>
      </c>
      <c r="I327" s="19" t="s">
        <v>3220</v>
      </c>
      <c r="J327" s="36" t="s">
        <v>587</v>
      </c>
      <c r="K327" s="215"/>
      <c r="L327" s="215"/>
      <c r="M327" s="36" t="s">
        <v>587</v>
      </c>
      <c r="N327" s="19" t="s">
        <v>3318</v>
      </c>
      <c r="O327" s="6" t="s">
        <v>587</v>
      </c>
      <c r="P327" s="215" t="s">
        <v>1116</v>
      </c>
      <c r="Q327" s="41" t="n">
        <f aca="false">Calib!F15</f>
        <v>8192</v>
      </c>
      <c r="R327" s="185" t="n">
        <f aca="false">SRC_PERF_001_ISL</f>
        <v>8192</v>
      </c>
      <c r="S327" s="35" t="str">
        <f aca="false">IF(ISNUMBER($AF327),INDEX(IDX_SrcStat,$AF327),"—")</f>
        <v>Active</v>
      </c>
      <c r="T327" s="35" t="n">
        <f aca="false">IF(ISNUMBER($AF327),INDEX(IDX_SrcGrade,$AF327),"—")</f>
        <v>1</v>
      </c>
      <c r="U327" s="35" t="s">
        <v>3222</v>
      </c>
      <c r="V327" s="186" t="n">
        <f aca="false">IF(AND($F327="原始數據",$U327&lt;&gt;"連結 SRC"),1,0)</f>
        <v>0</v>
      </c>
      <c r="W327" s="186" t="n">
        <f aca="false">IF(AND($F327="Analogy",OR($H327="—",$H327="")),1,0)</f>
        <v>0</v>
      </c>
      <c r="X327" s="186" t="n">
        <f aca="false">IF(AND(OR($F327="Analogy",$F327="Assumed"),$G327&lt;&gt;"低",$G327&lt;&gt;"高",NOT(ISNUMBER($K327)),NOT(ISNUMBER($L327)),OR($M327="—",$M327="")),1,0)</f>
        <v>0</v>
      </c>
      <c r="Y327" s="186" t="n">
        <f aca="false">IF(AND(OR($F327="Analogy",$F327="Assumed",$F327="Derived（待改公式）",$F327="Derived（公式）"),OR($N327="—",$N327="",$N327=0)),1,0)</f>
        <v>0</v>
      </c>
      <c r="Z327" s="186" t="n">
        <f aca="false">IF(AND($F327="Decision",OR($J327="—",$J327="")),1,0)</f>
        <v>0</v>
      </c>
      <c r="AA327" s="183" t="n">
        <f aca="false">IF(OR($J327="—",$J327=""),0,IF(COUNTIF(Decisions!$A$5:$A$300,$J327)=0,1,0))</f>
        <v>0</v>
      </c>
      <c r="AB327" s="186" t="n">
        <f aca="false">IF(AND($F327="原始數據",$S327&lt;&gt;"Active"),1,0)</f>
        <v>0</v>
      </c>
      <c r="AC327" s="186" t="n">
        <f aca="false">IF(AND(ISNUMBER($K327),ISNUMBER($L327),ISNUMBER($Q327)),IF(OR($Q327&lt;MIN($K327,$L327),$Q327&gt;MAX($K327,$L327)),1,0),0)</f>
        <v>0</v>
      </c>
      <c r="AD327" s="186" t="n">
        <f aca="false">IF(AND(ISNUMBER($T327),$P327="高"),IF($T327=3,1,0),0)</f>
        <v>0</v>
      </c>
      <c r="AE327" s="186" t="n">
        <f aca="false">IF($S327="不存在",1,0)</f>
        <v>0</v>
      </c>
      <c r="AF327" s="35" t="n">
        <f aca="false">IF(OR($H327="—",$H327=""),"—",MATCH($H327,IDX_SrcID,0))</f>
        <v>289</v>
      </c>
      <c r="AG327" s="104" t="n">
        <f aca="false">IF(AND($P327="高",OR($AD327=1,$X327=1)),1,0)</f>
        <v>0</v>
      </c>
      <c r="AH327" s="104" t="n">
        <f aca="false">IF(AND($P327="高",$AG327=0,OR($F327&lt;&gt;"原始數據",$T327&lt;&gt;1)),1,0)</f>
        <v>0</v>
      </c>
      <c r="AI327" s="53" t="str">
        <f aca="false">IF(AND($P327="高",ISNUMBER($AF327)),INDEX(IDX_SrcDate,$AF327),"—")</f>
        <v>—</v>
      </c>
      <c r="AJ327" s="104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6" t="s">
        <v>3960</v>
      </c>
      <c r="B328" s="215" t="s">
        <v>3183</v>
      </c>
      <c r="C328" s="36" t="s">
        <v>3923</v>
      </c>
      <c r="D328" s="36" t="s">
        <v>3234</v>
      </c>
      <c r="E328" s="6" t="s">
        <v>428</v>
      </c>
      <c r="F328" s="215" t="s">
        <v>298</v>
      </c>
      <c r="G328" s="215" t="s">
        <v>3185</v>
      </c>
      <c r="H328" s="36" t="s">
        <v>3956</v>
      </c>
      <c r="I328" s="19" t="s">
        <v>3220</v>
      </c>
      <c r="J328" s="36" t="s">
        <v>587</v>
      </c>
      <c r="K328" s="215"/>
      <c r="L328" s="215"/>
      <c r="M328" s="36" t="s">
        <v>587</v>
      </c>
      <c r="N328" s="19" t="s">
        <v>3318</v>
      </c>
      <c r="O328" s="6" t="s">
        <v>587</v>
      </c>
      <c r="P328" s="215" t="s">
        <v>1116</v>
      </c>
      <c r="Q328" s="41" t="n">
        <f aca="false">Calib!F16</f>
        <v>1024</v>
      </c>
      <c r="R328" s="185" t="n">
        <f aca="false">SRC_PERF_001_OSL</f>
        <v>1024</v>
      </c>
      <c r="S328" s="35" t="str">
        <f aca="false">IF(ISNUMBER($AF328),INDEX(IDX_SrcStat,$AF328),"—")</f>
        <v>Active</v>
      </c>
      <c r="T328" s="35" t="n">
        <f aca="false">IF(ISNUMBER($AF328),INDEX(IDX_SrcGrade,$AF328),"—")</f>
        <v>1</v>
      </c>
      <c r="U328" s="35" t="s">
        <v>3222</v>
      </c>
      <c r="V328" s="186" t="n">
        <f aca="false">IF(AND($F328="原始數據",$U328&lt;&gt;"連結 SRC"),1,0)</f>
        <v>0</v>
      </c>
      <c r="W328" s="186" t="n">
        <f aca="false">IF(AND($F328="Analogy",OR($H328="—",$H328="")),1,0)</f>
        <v>0</v>
      </c>
      <c r="X328" s="186" t="n">
        <f aca="false">IF(AND(OR($F328="Analogy",$F328="Assumed"),$G328&lt;&gt;"低",$G328&lt;&gt;"高",NOT(ISNUMBER($K328)),NOT(ISNUMBER($L328)),OR($M328="—",$M328="")),1,0)</f>
        <v>0</v>
      </c>
      <c r="Y328" s="186" t="n">
        <f aca="false">IF(AND(OR($F328="Analogy",$F328="Assumed",$F328="Derived（待改公式）",$F328="Derived（公式）"),OR($N328="—",$N328="",$N328=0)),1,0)</f>
        <v>0</v>
      </c>
      <c r="Z328" s="186" t="n">
        <f aca="false">IF(AND($F328="Decision",OR($J328="—",$J328="")),1,0)</f>
        <v>0</v>
      </c>
      <c r="AA328" s="183" t="n">
        <f aca="false">IF(OR($J328="—",$J328=""),0,IF(COUNTIF(Decisions!$A$5:$A$300,$J328)=0,1,0))</f>
        <v>0</v>
      </c>
      <c r="AB328" s="186" t="n">
        <f aca="false">IF(AND($F328="原始數據",$S328&lt;&gt;"Active"),1,0)</f>
        <v>0</v>
      </c>
      <c r="AC328" s="186" t="n">
        <f aca="false">IF(AND(ISNUMBER($K328),ISNUMBER($L328),ISNUMBER($Q328)),IF(OR($Q328&lt;MIN($K328,$L328),$Q328&gt;MAX($K328,$L328)),1,0),0)</f>
        <v>0</v>
      </c>
      <c r="AD328" s="186" t="n">
        <f aca="false">IF(AND(ISNUMBER($T328),$P328="高"),IF($T328=3,1,0),0)</f>
        <v>0</v>
      </c>
      <c r="AE328" s="186" t="n">
        <f aca="false">IF($S328="不存在",1,0)</f>
        <v>0</v>
      </c>
      <c r="AF328" s="35" t="n">
        <f aca="false">IF(OR($H328="—",$H328=""),"—",MATCH($H328,IDX_SrcID,0))</f>
        <v>289</v>
      </c>
      <c r="AG328" s="104" t="n">
        <f aca="false">IF(AND($P328="高",OR($AD328=1,$X328=1)),1,0)</f>
        <v>0</v>
      </c>
      <c r="AH328" s="104" t="n">
        <f aca="false">IF(AND($P328="高",$AG328=0,OR($F328&lt;&gt;"原始數據",$T328&lt;&gt;1)),1,0)</f>
        <v>0</v>
      </c>
      <c r="AI328" s="53" t="str">
        <f aca="false">IF(AND($P328="高",ISNUMBER($AF328)),INDEX(IDX_SrcDate,$AF328),"—")</f>
        <v>—</v>
      </c>
      <c r="AJ328" s="104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6" t="s">
        <v>3961</v>
      </c>
      <c r="B329" s="215" t="s">
        <v>3183</v>
      </c>
      <c r="C329" s="36" t="s">
        <v>3923</v>
      </c>
      <c r="D329" s="36" t="s">
        <v>3240</v>
      </c>
      <c r="E329" s="19" t="s">
        <v>3938</v>
      </c>
      <c r="F329" s="215" t="s">
        <v>298</v>
      </c>
      <c r="G329" s="215" t="s">
        <v>3185</v>
      </c>
      <c r="H329" s="36" t="s">
        <v>3956</v>
      </c>
      <c r="I329" s="19" t="s">
        <v>3220</v>
      </c>
      <c r="J329" s="36" t="s">
        <v>587</v>
      </c>
      <c r="K329" s="215"/>
      <c r="L329" s="215"/>
      <c r="M329" s="36" t="s">
        <v>587</v>
      </c>
      <c r="N329" s="19" t="s">
        <v>3318</v>
      </c>
      <c r="O329" s="6" t="s">
        <v>587</v>
      </c>
      <c r="P329" s="215" t="s">
        <v>1116</v>
      </c>
      <c r="Q329" s="41" t="n">
        <f aca="false">Calib!F17</f>
        <v>6182</v>
      </c>
      <c r="R329" s="185" t="n">
        <f aca="false">SRC_PERF_001</f>
        <v>6182</v>
      </c>
      <c r="S329" s="35" t="str">
        <f aca="false">IF(ISNUMBER($AF329),INDEX(IDX_SrcStat,$AF329),"—")</f>
        <v>Active</v>
      </c>
      <c r="T329" s="35" t="n">
        <f aca="false">IF(ISNUMBER($AF329),INDEX(IDX_SrcGrade,$AF329),"—")</f>
        <v>1</v>
      </c>
      <c r="U329" s="35" t="s">
        <v>3222</v>
      </c>
      <c r="V329" s="186" t="n">
        <f aca="false">IF(AND($F329="原始數據",$U329&lt;&gt;"連結 SRC"),1,0)</f>
        <v>0</v>
      </c>
      <c r="W329" s="186" t="n">
        <f aca="false">IF(AND($F329="Analogy",OR($H329="—",$H329="")),1,0)</f>
        <v>0</v>
      </c>
      <c r="X329" s="186" t="n">
        <f aca="false">IF(AND(OR($F329="Analogy",$F329="Assumed"),$G329&lt;&gt;"低",$G329&lt;&gt;"高",NOT(ISNUMBER($K329)),NOT(ISNUMBER($L329)),OR($M329="—",$M329="")),1,0)</f>
        <v>0</v>
      </c>
      <c r="Y329" s="186" t="n">
        <f aca="false">IF(AND(OR($F329="Analogy",$F329="Assumed",$F329="Derived（待改公式）",$F329="Derived（公式）"),OR($N329="—",$N329="",$N329=0)),1,0)</f>
        <v>0</v>
      </c>
      <c r="Z329" s="186" t="n">
        <f aca="false">IF(AND($F329="Decision",OR($J329="—",$J329="")),1,0)</f>
        <v>0</v>
      </c>
      <c r="AA329" s="183" t="n">
        <f aca="false">IF(OR($J329="—",$J329=""),0,IF(COUNTIF(Decisions!$A$5:$A$300,$J329)=0,1,0))</f>
        <v>0</v>
      </c>
      <c r="AB329" s="186" t="n">
        <f aca="false">IF(AND($F329="原始數據",$S329&lt;&gt;"Active"),1,0)</f>
        <v>0</v>
      </c>
      <c r="AC329" s="186" t="n">
        <f aca="false">IF(AND(ISNUMBER($K329),ISNUMBER($L329),ISNUMBER($Q329)),IF(OR($Q329&lt;MIN($K329,$L329),$Q329&gt;MAX($K329,$L329)),1,0),0)</f>
        <v>0</v>
      </c>
      <c r="AD329" s="186" t="n">
        <f aca="false">IF(AND(ISNUMBER($T329),$P329="高"),IF($T329=3,1,0),0)</f>
        <v>0</v>
      </c>
      <c r="AE329" s="186" t="n">
        <f aca="false">IF($S329="不存在",1,0)</f>
        <v>0</v>
      </c>
      <c r="AF329" s="35" t="n">
        <f aca="false">IF(OR($H329="—",$H329=""),"—",MATCH($H329,IDX_SrcID,0))</f>
        <v>289</v>
      </c>
      <c r="AG329" s="104" t="n">
        <f aca="false">IF(AND($P329="高",OR($AD329=1,$X329=1)),1,0)</f>
        <v>0</v>
      </c>
      <c r="AH329" s="104" t="n">
        <f aca="false">IF(AND($P329="高",$AG329=0,OR($F329&lt;&gt;"原始數據",$T329&lt;&gt;1)),1,0)</f>
        <v>0</v>
      </c>
      <c r="AI329" s="53" t="str">
        <f aca="false">IF(AND($P329="高",ISNUMBER($AF329)),INDEX(IDX_SrcDate,$AF329),"—")</f>
        <v>—</v>
      </c>
      <c r="AJ329" s="104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6" t="s">
        <v>3962</v>
      </c>
      <c r="B330" s="215" t="s">
        <v>3183</v>
      </c>
      <c r="C330" s="36" t="s">
        <v>3923</v>
      </c>
      <c r="D330" s="36" t="s">
        <v>3449</v>
      </c>
      <c r="E330" s="6" t="s">
        <v>425</v>
      </c>
      <c r="F330" s="215" t="s">
        <v>298</v>
      </c>
      <c r="G330" s="215" t="s">
        <v>3185</v>
      </c>
      <c r="H330" s="36" t="s">
        <v>3963</v>
      </c>
      <c r="I330" s="19" t="s">
        <v>3220</v>
      </c>
      <c r="J330" s="36" t="s">
        <v>587</v>
      </c>
      <c r="K330" s="215"/>
      <c r="L330" s="215"/>
      <c r="M330" s="36" t="s">
        <v>587</v>
      </c>
      <c r="N330" s="19" t="s">
        <v>3318</v>
      </c>
      <c r="O330" s="6" t="s">
        <v>587</v>
      </c>
      <c r="P330" s="215" t="s">
        <v>3188</v>
      </c>
      <c r="Q330" s="183" t="n">
        <f aca="false">Calib!G13</f>
        <v>0</v>
      </c>
      <c r="R330" s="185" t="n">
        <f aca="false">SRC_PERF_002_MTP</f>
        <v>0</v>
      </c>
      <c r="S330" s="35" t="str">
        <f aca="false">IF(ISNUMBER($AF330),INDEX(IDX_SrcStat,$AF330),"—")</f>
        <v>Active</v>
      </c>
      <c r="T330" s="35" t="n">
        <f aca="false">IF(ISNUMBER($AF330),INDEX(IDX_SrcGrade,$AF330),"—")</f>
        <v>1</v>
      </c>
      <c r="U330" s="35" t="s">
        <v>3222</v>
      </c>
      <c r="V330" s="186" t="n">
        <f aca="false">IF(AND($F330="原始數據",$U330&lt;&gt;"連結 SRC"),1,0)</f>
        <v>0</v>
      </c>
      <c r="W330" s="186" t="n">
        <f aca="false">IF(AND($F330="Analogy",OR($H330="—",$H330="")),1,0)</f>
        <v>0</v>
      </c>
      <c r="X330" s="186" t="n">
        <f aca="false">IF(AND(OR($F330="Analogy",$F330="Assumed"),$G330&lt;&gt;"低",$G330&lt;&gt;"高",NOT(ISNUMBER($K330)),NOT(ISNUMBER($L330)),OR($M330="—",$M330="")),1,0)</f>
        <v>0</v>
      </c>
      <c r="Y330" s="186" t="n">
        <f aca="false">IF(AND(OR($F330="Analogy",$F330="Assumed",$F330="Derived（待改公式）",$F330="Derived（公式）"),OR($N330="—",$N330="",$N330=0)),1,0)</f>
        <v>0</v>
      </c>
      <c r="Z330" s="186" t="n">
        <f aca="false">IF(AND($F330="Decision",OR($J330="—",$J330="")),1,0)</f>
        <v>0</v>
      </c>
      <c r="AA330" s="183" t="n">
        <f aca="false">IF(OR($J330="—",$J330=""),0,IF(COUNTIF(Decisions!$A$5:$A$300,$J330)=0,1,0))</f>
        <v>0</v>
      </c>
      <c r="AB330" s="186" t="n">
        <f aca="false">IF(AND($F330="原始數據",$S330&lt;&gt;"Active"),1,0)</f>
        <v>0</v>
      </c>
      <c r="AC330" s="186" t="n">
        <f aca="false">IF(AND(ISNUMBER($K330),ISNUMBER($L330),ISNUMBER($Q330)),IF(OR($Q330&lt;MIN($K330,$L330),$Q330&gt;MAX($K330,$L330)),1,0),0)</f>
        <v>0</v>
      </c>
      <c r="AD330" s="186" t="n">
        <f aca="false">IF(AND(ISNUMBER($T330),$P330="高"),IF($T330=3,1,0),0)</f>
        <v>0</v>
      </c>
      <c r="AE330" s="186" t="n">
        <f aca="false">IF($S330="不存在",1,0)</f>
        <v>0</v>
      </c>
      <c r="AF330" s="35" t="n">
        <f aca="false">IF(OR($H330="—",$H330=""),"—",MATCH($H330,IDX_SrcID,0))</f>
        <v>290</v>
      </c>
      <c r="AG330" s="104" t="n">
        <f aca="false">IF(AND($P330="高",OR($AD330=1,$X330=1)),1,0)</f>
        <v>0</v>
      </c>
      <c r="AH330" s="104" t="n">
        <f aca="false">IF(AND($P330="高",$AG330=0,OR($F330&lt;&gt;"原始數據",$T330&lt;&gt;1)),1,0)</f>
        <v>0</v>
      </c>
      <c r="AI330" s="53" t="str">
        <f aca="false">IF(AND($P330="高",ISNUMBER($AF330)),INDEX(IDX_SrcDate,$AF330),"—")</f>
        <v>—</v>
      </c>
      <c r="AJ330" s="104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6" t="s">
        <v>3964</v>
      </c>
      <c r="B331" s="215" t="s">
        <v>3183</v>
      </c>
      <c r="C331" s="36" t="s">
        <v>3923</v>
      </c>
      <c r="D331" s="36" t="s">
        <v>3912</v>
      </c>
      <c r="E331" s="19" t="s">
        <v>426</v>
      </c>
      <c r="F331" s="215" t="s">
        <v>298</v>
      </c>
      <c r="G331" s="215" t="s">
        <v>3185</v>
      </c>
      <c r="H331" s="36" t="s">
        <v>3963</v>
      </c>
      <c r="I331" s="19" t="s">
        <v>3220</v>
      </c>
      <c r="J331" s="36" t="s">
        <v>587</v>
      </c>
      <c r="K331" s="215"/>
      <c r="L331" s="215"/>
      <c r="M331" s="36" t="s">
        <v>587</v>
      </c>
      <c r="N331" s="19" t="s">
        <v>3318</v>
      </c>
      <c r="O331" s="6" t="s">
        <v>587</v>
      </c>
      <c r="P331" s="215" t="s">
        <v>1116</v>
      </c>
      <c r="Q331" s="41" t="n">
        <f aca="false">Calib!G14</f>
        <v>27</v>
      </c>
      <c r="R331" s="185" t="n">
        <f aca="false">SRC_PERF_002_Spd</f>
        <v>27</v>
      </c>
      <c r="S331" s="35" t="str">
        <f aca="false">IF(ISNUMBER($AF331),INDEX(IDX_SrcStat,$AF331),"—")</f>
        <v>Active</v>
      </c>
      <c r="T331" s="35" t="n">
        <f aca="false">IF(ISNUMBER($AF331),INDEX(IDX_SrcGrade,$AF331),"—")</f>
        <v>1</v>
      </c>
      <c r="U331" s="35" t="s">
        <v>3222</v>
      </c>
      <c r="V331" s="186" t="n">
        <f aca="false">IF(AND($F331="原始數據",$U331&lt;&gt;"連結 SRC"),1,0)</f>
        <v>0</v>
      </c>
      <c r="W331" s="186" t="n">
        <f aca="false">IF(AND($F331="Analogy",OR($H331="—",$H331="")),1,0)</f>
        <v>0</v>
      </c>
      <c r="X331" s="186" t="n">
        <f aca="false">IF(AND(OR($F331="Analogy",$F331="Assumed"),$G331&lt;&gt;"低",$G331&lt;&gt;"高",NOT(ISNUMBER($K331)),NOT(ISNUMBER($L331)),OR($M331="—",$M331="")),1,0)</f>
        <v>0</v>
      </c>
      <c r="Y331" s="186" t="n">
        <f aca="false">IF(AND(OR($F331="Analogy",$F331="Assumed",$F331="Derived（待改公式）",$F331="Derived（公式）"),OR($N331="—",$N331="",$N331=0)),1,0)</f>
        <v>0</v>
      </c>
      <c r="Z331" s="186" t="n">
        <f aca="false">IF(AND($F331="Decision",OR($J331="—",$J331="")),1,0)</f>
        <v>0</v>
      </c>
      <c r="AA331" s="183" t="n">
        <f aca="false">IF(OR($J331="—",$J331=""),0,IF(COUNTIF(Decisions!$A$5:$A$300,$J331)=0,1,0))</f>
        <v>0</v>
      </c>
      <c r="AB331" s="186" t="n">
        <f aca="false">IF(AND($F331="原始數據",$S331&lt;&gt;"Active"),1,0)</f>
        <v>0</v>
      </c>
      <c r="AC331" s="186" t="n">
        <f aca="false">IF(AND(ISNUMBER($K331),ISNUMBER($L331),ISNUMBER($Q331)),IF(OR($Q331&lt;MIN($K331,$L331),$Q331&gt;MAX($K331,$L331)),1,0),0)</f>
        <v>0</v>
      </c>
      <c r="AD331" s="186" t="n">
        <f aca="false">IF(AND(ISNUMBER($T331),$P331="高"),IF($T331=3,1,0),0)</f>
        <v>0</v>
      </c>
      <c r="AE331" s="186" t="n">
        <f aca="false">IF($S331="不存在",1,0)</f>
        <v>0</v>
      </c>
      <c r="AF331" s="35" t="n">
        <f aca="false">IF(OR($H331="—",$H331=""),"—",MATCH($H331,IDX_SrcID,0))</f>
        <v>290</v>
      </c>
      <c r="AG331" s="104" t="n">
        <f aca="false">IF(AND($P331="高",OR($AD331=1,$X331=1)),1,0)</f>
        <v>0</v>
      </c>
      <c r="AH331" s="104" t="n">
        <f aca="false">IF(AND($P331="高",$AG331=0,OR($F331&lt;&gt;"原始數據",$T331&lt;&gt;1)),1,0)</f>
        <v>0</v>
      </c>
      <c r="AI331" s="53" t="str">
        <f aca="false">IF(AND($P331="高",ISNUMBER($AF331)),INDEX(IDX_SrcDate,$AF331),"—")</f>
        <v>—</v>
      </c>
      <c r="AJ331" s="104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6" t="s">
        <v>3965</v>
      </c>
      <c r="B332" s="215" t="s">
        <v>3183</v>
      </c>
      <c r="C332" s="36" t="s">
        <v>3923</v>
      </c>
      <c r="D332" s="36" t="s">
        <v>3966</v>
      </c>
      <c r="E332" s="6" t="s">
        <v>427</v>
      </c>
      <c r="F332" s="215" t="s">
        <v>298</v>
      </c>
      <c r="G332" s="215" t="s">
        <v>3185</v>
      </c>
      <c r="H332" s="36" t="s">
        <v>3963</v>
      </c>
      <c r="I332" s="19" t="s">
        <v>3220</v>
      </c>
      <c r="J332" s="36" t="s">
        <v>587</v>
      </c>
      <c r="K332" s="215"/>
      <c r="L332" s="215"/>
      <c r="M332" s="36" t="s">
        <v>587</v>
      </c>
      <c r="N332" s="19" t="s">
        <v>3318</v>
      </c>
      <c r="O332" s="6" t="s">
        <v>587</v>
      </c>
      <c r="P332" s="215" t="s">
        <v>1116</v>
      </c>
      <c r="Q332" s="41" t="n">
        <f aca="false">Calib!G15</f>
        <v>8192</v>
      </c>
      <c r="R332" s="185" t="n">
        <f aca="false">SRC_PERF_002_ISL</f>
        <v>8192</v>
      </c>
      <c r="S332" s="35" t="str">
        <f aca="false">IF(ISNUMBER($AF332),INDEX(IDX_SrcStat,$AF332),"—")</f>
        <v>Active</v>
      </c>
      <c r="T332" s="35" t="n">
        <f aca="false">IF(ISNUMBER($AF332),INDEX(IDX_SrcGrade,$AF332),"—")</f>
        <v>1</v>
      </c>
      <c r="U332" s="35" t="s">
        <v>3222</v>
      </c>
      <c r="V332" s="186" t="n">
        <f aca="false">IF(AND($F332="原始數據",$U332&lt;&gt;"連結 SRC"),1,0)</f>
        <v>0</v>
      </c>
      <c r="W332" s="186" t="n">
        <f aca="false">IF(AND($F332="Analogy",OR($H332="—",$H332="")),1,0)</f>
        <v>0</v>
      </c>
      <c r="X332" s="186" t="n">
        <f aca="false">IF(AND(OR($F332="Analogy",$F332="Assumed"),$G332&lt;&gt;"低",$G332&lt;&gt;"高",NOT(ISNUMBER($K332)),NOT(ISNUMBER($L332)),OR($M332="—",$M332="")),1,0)</f>
        <v>0</v>
      </c>
      <c r="Y332" s="186" t="n">
        <f aca="false">IF(AND(OR($F332="Analogy",$F332="Assumed",$F332="Derived（待改公式）",$F332="Derived（公式）"),OR($N332="—",$N332="",$N332=0)),1,0)</f>
        <v>0</v>
      </c>
      <c r="Z332" s="186" t="n">
        <f aca="false">IF(AND($F332="Decision",OR($J332="—",$J332="")),1,0)</f>
        <v>0</v>
      </c>
      <c r="AA332" s="183" t="n">
        <f aca="false">IF(OR($J332="—",$J332=""),0,IF(COUNTIF(Decisions!$A$5:$A$300,$J332)=0,1,0))</f>
        <v>0</v>
      </c>
      <c r="AB332" s="186" t="n">
        <f aca="false">IF(AND($F332="原始數據",$S332&lt;&gt;"Active"),1,0)</f>
        <v>0</v>
      </c>
      <c r="AC332" s="186" t="n">
        <f aca="false">IF(AND(ISNUMBER($K332),ISNUMBER($L332),ISNUMBER($Q332)),IF(OR($Q332&lt;MIN($K332,$L332),$Q332&gt;MAX($K332,$L332)),1,0),0)</f>
        <v>0</v>
      </c>
      <c r="AD332" s="186" t="n">
        <f aca="false">IF(AND(ISNUMBER($T332),$P332="高"),IF($T332=3,1,0),0)</f>
        <v>0</v>
      </c>
      <c r="AE332" s="186" t="n">
        <f aca="false">IF($S332="不存在",1,0)</f>
        <v>0</v>
      </c>
      <c r="AF332" s="35" t="n">
        <f aca="false">IF(OR($H332="—",$H332=""),"—",MATCH($H332,IDX_SrcID,0))</f>
        <v>290</v>
      </c>
      <c r="AG332" s="104" t="n">
        <f aca="false">IF(AND($P332="高",OR($AD332=1,$X332=1)),1,0)</f>
        <v>0</v>
      </c>
      <c r="AH332" s="104" t="n">
        <f aca="false">IF(AND($P332="高",$AG332=0,OR($F332&lt;&gt;"原始數據",$T332&lt;&gt;1)),1,0)</f>
        <v>0</v>
      </c>
      <c r="AI332" s="53" t="str">
        <f aca="false">IF(AND($P332="高",ISNUMBER($AF332)),INDEX(IDX_SrcDate,$AF332),"—")</f>
        <v>—</v>
      </c>
      <c r="AJ332" s="104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6" t="s">
        <v>3967</v>
      </c>
      <c r="B333" s="215" t="s">
        <v>3183</v>
      </c>
      <c r="C333" s="36" t="s">
        <v>3923</v>
      </c>
      <c r="D333" s="36" t="s">
        <v>3968</v>
      </c>
      <c r="E333" s="6" t="s">
        <v>428</v>
      </c>
      <c r="F333" s="215" t="s">
        <v>298</v>
      </c>
      <c r="G333" s="215" t="s">
        <v>3185</v>
      </c>
      <c r="H333" s="36" t="s">
        <v>3963</v>
      </c>
      <c r="I333" s="19" t="s">
        <v>3220</v>
      </c>
      <c r="J333" s="36" t="s">
        <v>587</v>
      </c>
      <c r="K333" s="215"/>
      <c r="L333" s="215"/>
      <c r="M333" s="36" t="s">
        <v>587</v>
      </c>
      <c r="N333" s="19" t="s">
        <v>3318</v>
      </c>
      <c r="O333" s="6" t="s">
        <v>587</v>
      </c>
      <c r="P333" s="215" t="s">
        <v>1116</v>
      </c>
      <c r="Q333" s="41" t="n">
        <f aca="false">Calib!G16</f>
        <v>1024</v>
      </c>
      <c r="R333" s="185" t="n">
        <f aca="false">SRC_PERF_002_OSL</f>
        <v>1024</v>
      </c>
      <c r="S333" s="35" t="str">
        <f aca="false">IF(ISNUMBER($AF333),INDEX(IDX_SrcStat,$AF333),"—")</f>
        <v>Active</v>
      </c>
      <c r="T333" s="35" t="n">
        <f aca="false">IF(ISNUMBER($AF333),INDEX(IDX_SrcGrade,$AF333),"—")</f>
        <v>1</v>
      </c>
      <c r="U333" s="35" t="s">
        <v>3222</v>
      </c>
      <c r="V333" s="186" t="n">
        <f aca="false">IF(AND($F333="原始數據",$U333&lt;&gt;"連結 SRC"),1,0)</f>
        <v>0</v>
      </c>
      <c r="W333" s="186" t="n">
        <f aca="false">IF(AND($F333="Analogy",OR($H333="—",$H333="")),1,0)</f>
        <v>0</v>
      </c>
      <c r="X333" s="186" t="n">
        <f aca="false">IF(AND(OR($F333="Analogy",$F333="Assumed"),$G333&lt;&gt;"低",$G333&lt;&gt;"高",NOT(ISNUMBER($K333)),NOT(ISNUMBER($L333)),OR($M333="—",$M333="")),1,0)</f>
        <v>0</v>
      </c>
      <c r="Y333" s="186" t="n">
        <f aca="false">IF(AND(OR($F333="Analogy",$F333="Assumed",$F333="Derived（待改公式）",$F333="Derived（公式）"),OR($N333="—",$N333="",$N333=0)),1,0)</f>
        <v>0</v>
      </c>
      <c r="Z333" s="186" t="n">
        <f aca="false">IF(AND($F333="Decision",OR($J333="—",$J333="")),1,0)</f>
        <v>0</v>
      </c>
      <c r="AA333" s="183" t="n">
        <f aca="false">IF(OR($J333="—",$J333=""),0,IF(COUNTIF(Decisions!$A$5:$A$300,$J333)=0,1,0))</f>
        <v>0</v>
      </c>
      <c r="AB333" s="186" t="n">
        <f aca="false">IF(AND($F333="原始數據",$S333&lt;&gt;"Active"),1,0)</f>
        <v>0</v>
      </c>
      <c r="AC333" s="186" t="n">
        <f aca="false">IF(AND(ISNUMBER($K333),ISNUMBER($L333),ISNUMBER($Q333)),IF(OR($Q333&lt;MIN($K333,$L333),$Q333&gt;MAX($K333,$L333)),1,0),0)</f>
        <v>0</v>
      </c>
      <c r="AD333" s="186" t="n">
        <f aca="false">IF(AND(ISNUMBER($T333),$P333="高"),IF($T333=3,1,0),0)</f>
        <v>0</v>
      </c>
      <c r="AE333" s="186" t="n">
        <f aca="false">IF($S333="不存在",1,0)</f>
        <v>0</v>
      </c>
      <c r="AF333" s="35" t="n">
        <f aca="false">IF(OR($H333="—",$H333=""),"—",MATCH($H333,IDX_SrcID,0))</f>
        <v>290</v>
      </c>
      <c r="AG333" s="104" t="n">
        <f aca="false">IF(AND($P333="高",OR($AD333=1,$X333=1)),1,0)</f>
        <v>0</v>
      </c>
      <c r="AH333" s="104" t="n">
        <f aca="false">IF(AND($P333="高",$AG333=0,OR($F333&lt;&gt;"原始數據",$T333&lt;&gt;1)),1,0)</f>
        <v>0</v>
      </c>
      <c r="AI333" s="53" t="str">
        <f aca="false">IF(AND($P333="高",ISNUMBER($AF333)),INDEX(IDX_SrcDate,$AF333),"—")</f>
        <v>—</v>
      </c>
      <c r="AJ333" s="104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6" t="s">
        <v>3969</v>
      </c>
      <c r="B334" s="215" t="s">
        <v>3183</v>
      </c>
      <c r="C334" s="36" t="s">
        <v>3923</v>
      </c>
      <c r="D334" s="36" t="s">
        <v>3970</v>
      </c>
      <c r="E334" s="19" t="s">
        <v>3938</v>
      </c>
      <c r="F334" s="215" t="s">
        <v>298</v>
      </c>
      <c r="G334" s="215" t="s">
        <v>3185</v>
      </c>
      <c r="H334" s="36" t="s">
        <v>3963</v>
      </c>
      <c r="I334" s="19" t="s">
        <v>3220</v>
      </c>
      <c r="J334" s="36" t="s">
        <v>587</v>
      </c>
      <c r="K334" s="215"/>
      <c r="L334" s="215"/>
      <c r="M334" s="36" t="s">
        <v>587</v>
      </c>
      <c r="N334" s="19" t="s">
        <v>3318</v>
      </c>
      <c r="O334" s="6" t="s">
        <v>587</v>
      </c>
      <c r="P334" s="215" t="s">
        <v>1116</v>
      </c>
      <c r="Q334" s="41" t="n">
        <f aca="false">Calib!G17</f>
        <v>2189</v>
      </c>
      <c r="R334" s="185" t="n">
        <f aca="false">SRC_PERF_002</f>
        <v>2189</v>
      </c>
      <c r="S334" s="35" t="str">
        <f aca="false">IF(ISNUMBER($AF334),INDEX(IDX_SrcStat,$AF334),"—")</f>
        <v>Active</v>
      </c>
      <c r="T334" s="35" t="n">
        <f aca="false">IF(ISNUMBER($AF334),INDEX(IDX_SrcGrade,$AF334),"—")</f>
        <v>1</v>
      </c>
      <c r="U334" s="35" t="s">
        <v>3222</v>
      </c>
      <c r="V334" s="186" t="n">
        <f aca="false">IF(AND($F334="原始數據",$U334&lt;&gt;"連結 SRC"),1,0)</f>
        <v>0</v>
      </c>
      <c r="W334" s="186" t="n">
        <f aca="false">IF(AND($F334="Analogy",OR($H334="—",$H334="")),1,0)</f>
        <v>0</v>
      </c>
      <c r="X334" s="186" t="n">
        <f aca="false">IF(AND(OR($F334="Analogy",$F334="Assumed"),$G334&lt;&gt;"低",$G334&lt;&gt;"高",NOT(ISNUMBER($K334)),NOT(ISNUMBER($L334)),OR($M334="—",$M334="")),1,0)</f>
        <v>0</v>
      </c>
      <c r="Y334" s="186" t="n">
        <f aca="false">IF(AND(OR($F334="Analogy",$F334="Assumed",$F334="Derived（待改公式）",$F334="Derived（公式）"),OR($N334="—",$N334="",$N334=0)),1,0)</f>
        <v>0</v>
      </c>
      <c r="Z334" s="186" t="n">
        <f aca="false">IF(AND($F334="Decision",OR($J334="—",$J334="")),1,0)</f>
        <v>0</v>
      </c>
      <c r="AA334" s="183" t="n">
        <f aca="false">IF(OR($J334="—",$J334=""),0,IF(COUNTIF(Decisions!$A$5:$A$300,$J334)=0,1,0))</f>
        <v>0</v>
      </c>
      <c r="AB334" s="186" t="n">
        <f aca="false">IF(AND($F334="原始數據",$S334&lt;&gt;"Active"),1,0)</f>
        <v>0</v>
      </c>
      <c r="AC334" s="186" t="n">
        <f aca="false">IF(AND(ISNUMBER($K334),ISNUMBER($L334),ISNUMBER($Q334)),IF(OR($Q334&lt;MIN($K334,$L334),$Q334&gt;MAX($K334,$L334)),1,0),0)</f>
        <v>0</v>
      </c>
      <c r="AD334" s="186" t="n">
        <f aca="false">IF(AND(ISNUMBER($T334),$P334="高"),IF($T334=3,1,0),0)</f>
        <v>0</v>
      </c>
      <c r="AE334" s="186" t="n">
        <f aca="false">IF($S334="不存在",1,0)</f>
        <v>0</v>
      </c>
      <c r="AF334" s="35" t="n">
        <f aca="false">IF(OR($H334="—",$H334=""),"—",MATCH($H334,IDX_SrcID,0))</f>
        <v>290</v>
      </c>
      <c r="AG334" s="104" t="n">
        <f aca="false">IF(AND($P334="高",OR($AD334=1,$X334=1)),1,0)</f>
        <v>0</v>
      </c>
      <c r="AH334" s="104" t="n">
        <f aca="false">IF(AND($P334="高",$AG334=0,OR($F334&lt;&gt;"原始數據",$T334&lt;&gt;1)),1,0)</f>
        <v>0</v>
      </c>
      <c r="AI334" s="53" t="str">
        <f aca="false">IF(AND($P334="高",ISNUMBER($AF334)),INDEX(IDX_SrcDate,$AF334),"—")</f>
        <v>—</v>
      </c>
      <c r="AJ334" s="104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6" t="s">
        <v>3971</v>
      </c>
      <c r="B335" s="215" t="s">
        <v>3183</v>
      </c>
      <c r="C335" s="36" t="s">
        <v>3923</v>
      </c>
      <c r="D335" s="36" t="s">
        <v>3972</v>
      </c>
      <c r="E335" s="6" t="s">
        <v>425</v>
      </c>
      <c r="F335" s="215" t="s">
        <v>298</v>
      </c>
      <c r="G335" s="215" t="s">
        <v>3185</v>
      </c>
      <c r="H335" s="36" t="s">
        <v>3973</v>
      </c>
      <c r="I335" s="19" t="s">
        <v>3220</v>
      </c>
      <c r="J335" s="36" t="s">
        <v>587</v>
      </c>
      <c r="K335" s="215"/>
      <c r="L335" s="215"/>
      <c r="M335" s="36" t="s">
        <v>587</v>
      </c>
      <c r="N335" s="19" t="s">
        <v>3318</v>
      </c>
      <c r="O335" s="6" t="s">
        <v>587</v>
      </c>
      <c r="P335" s="215" t="s">
        <v>3188</v>
      </c>
      <c r="Q335" s="183" t="n">
        <f aca="false">Calib!H13</f>
        <v>1</v>
      </c>
      <c r="R335" s="185" t="n">
        <f aca="false">SRC_PERF_014_MTP</f>
        <v>1</v>
      </c>
      <c r="S335" s="35" t="str">
        <f aca="false">IF(ISNUMBER($AF335),INDEX(IDX_SrcStat,$AF335),"—")</f>
        <v>Active</v>
      </c>
      <c r="T335" s="35" t="n">
        <f aca="false">IF(ISNUMBER($AF335),INDEX(IDX_SrcGrade,$AF335),"—")</f>
        <v>1</v>
      </c>
      <c r="U335" s="35" t="s">
        <v>3222</v>
      </c>
      <c r="V335" s="186" t="n">
        <f aca="false">IF(AND($F335="原始數據",$U335&lt;&gt;"連結 SRC"),1,0)</f>
        <v>0</v>
      </c>
      <c r="W335" s="186" t="n">
        <f aca="false">IF(AND($F335="Analogy",OR($H335="—",$H335="")),1,0)</f>
        <v>0</v>
      </c>
      <c r="X335" s="186" t="n">
        <f aca="false">IF(AND(OR($F335="Analogy",$F335="Assumed"),$G335&lt;&gt;"低",$G335&lt;&gt;"高",NOT(ISNUMBER($K335)),NOT(ISNUMBER($L335)),OR($M335="—",$M335="")),1,0)</f>
        <v>0</v>
      </c>
      <c r="Y335" s="186" t="n">
        <f aca="false">IF(AND(OR($F335="Analogy",$F335="Assumed",$F335="Derived（待改公式）",$F335="Derived（公式）"),OR($N335="—",$N335="",$N335=0)),1,0)</f>
        <v>0</v>
      </c>
      <c r="Z335" s="186" t="n">
        <f aca="false">IF(AND($F335="Decision",OR($J335="—",$J335="")),1,0)</f>
        <v>0</v>
      </c>
      <c r="AA335" s="183" t="n">
        <f aca="false">IF(OR($J335="—",$J335=""),0,IF(COUNTIF(Decisions!$A$5:$A$300,$J335)=0,1,0))</f>
        <v>0</v>
      </c>
      <c r="AB335" s="186" t="n">
        <f aca="false">IF(AND($F335="原始數據",$S335&lt;&gt;"Active"),1,0)</f>
        <v>0</v>
      </c>
      <c r="AC335" s="186" t="n">
        <f aca="false">IF(AND(ISNUMBER($K335),ISNUMBER($L335),ISNUMBER($Q335)),IF(OR($Q335&lt;MIN($K335,$L335),$Q335&gt;MAX($K335,$L335)),1,0),0)</f>
        <v>0</v>
      </c>
      <c r="AD335" s="186" t="n">
        <f aca="false">IF(AND(ISNUMBER($T335),$P335="高"),IF($T335=3,1,0),0)</f>
        <v>0</v>
      </c>
      <c r="AE335" s="186" t="n">
        <f aca="false">IF($S335="不存在",1,0)</f>
        <v>0</v>
      </c>
      <c r="AF335" s="35" t="n">
        <f aca="false">IF(OR($H335="—",$H335=""),"—",MATCH($H335,IDX_SrcID,0))</f>
        <v>302</v>
      </c>
      <c r="AG335" s="104" t="n">
        <f aca="false">IF(AND($P335="高",OR($AD335=1,$X335=1)),1,0)</f>
        <v>0</v>
      </c>
      <c r="AH335" s="104" t="n">
        <f aca="false">IF(AND($P335="高",$AG335=0,OR($F335&lt;&gt;"原始數據",$T335&lt;&gt;1)),1,0)</f>
        <v>0</v>
      </c>
      <c r="AI335" s="53" t="str">
        <f aca="false">IF(AND($P335="高",ISNUMBER($AF335)),INDEX(IDX_SrcDate,$AF335),"—")</f>
        <v>—</v>
      </c>
      <c r="AJ335" s="104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6" t="s">
        <v>3974</v>
      </c>
      <c r="B336" s="215" t="s">
        <v>3183</v>
      </c>
      <c r="C336" s="36" t="s">
        <v>3923</v>
      </c>
      <c r="D336" s="36" t="s">
        <v>3975</v>
      </c>
      <c r="E336" s="19" t="s">
        <v>426</v>
      </c>
      <c r="F336" s="215" t="s">
        <v>298</v>
      </c>
      <c r="G336" s="215" t="s">
        <v>3185</v>
      </c>
      <c r="H336" s="36" t="s">
        <v>3973</v>
      </c>
      <c r="I336" s="19" t="s">
        <v>3220</v>
      </c>
      <c r="J336" s="36" t="s">
        <v>587</v>
      </c>
      <c r="K336" s="215"/>
      <c r="L336" s="215"/>
      <c r="M336" s="36" t="s">
        <v>587</v>
      </c>
      <c r="N336" s="19" t="s">
        <v>3318</v>
      </c>
      <c r="O336" s="6" t="s">
        <v>587</v>
      </c>
      <c r="P336" s="215" t="s">
        <v>1116</v>
      </c>
      <c r="Q336" s="41" t="n">
        <f aca="false">Calib!H14</f>
        <v>110</v>
      </c>
      <c r="R336" s="185" t="n">
        <f aca="false">SRC_PERF_014_Spd</f>
        <v>110</v>
      </c>
      <c r="S336" s="35" t="str">
        <f aca="false">IF(ISNUMBER($AF336),INDEX(IDX_SrcStat,$AF336),"—")</f>
        <v>Active</v>
      </c>
      <c r="T336" s="35" t="n">
        <f aca="false">IF(ISNUMBER($AF336),INDEX(IDX_SrcGrade,$AF336),"—")</f>
        <v>1</v>
      </c>
      <c r="U336" s="35" t="s">
        <v>3222</v>
      </c>
      <c r="V336" s="186" t="n">
        <f aca="false">IF(AND($F336="原始數據",$U336&lt;&gt;"連結 SRC"),1,0)</f>
        <v>0</v>
      </c>
      <c r="W336" s="186" t="n">
        <f aca="false">IF(AND($F336="Analogy",OR($H336="—",$H336="")),1,0)</f>
        <v>0</v>
      </c>
      <c r="X336" s="186" t="n">
        <f aca="false">IF(AND(OR($F336="Analogy",$F336="Assumed"),$G336&lt;&gt;"低",$G336&lt;&gt;"高",NOT(ISNUMBER($K336)),NOT(ISNUMBER($L336)),OR($M336="—",$M336="")),1,0)</f>
        <v>0</v>
      </c>
      <c r="Y336" s="186" t="n">
        <f aca="false">IF(AND(OR($F336="Analogy",$F336="Assumed",$F336="Derived（待改公式）",$F336="Derived（公式）"),OR($N336="—",$N336="",$N336=0)),1,0)</f>
        <v>0</v>
      </c>
      <c r="Z336" s="186" t="n">
        <f aca="false">IF(AND($F336="Decision",OR($J336="—",$J336="")),1,0)</f>
        <v>0</v>
      </c>
      <c r="AA336" s="183" t="n">
        <f aca="false">IF(OR($J336="—",$J336=""),0,IF(COUNTIF(Decisions!$A$5:$A$300,$J336)=0,1,0))</f>
        <v>0</v>
      </c>
      <c r="AB336" s="186" t="n">
        <f aca="false">IF(AND($F336="原始數據",$S336&lt;&gt;"Active"),1,0)</f>
        <v>0</v>
      </c>
      <c r="AC336" s="186" t="n">
        <f aca="false">IF(AND(ISNUMBER($K336),ISNUMBER($L336),ISNUMBER($Q336)),IF(OR($Q336&lt;MIN($K336,$L336),$Q336&gt;MAX($K336,$L336)),1,0),0)</f>
        <v>0</v>
      </c>
      <c r="AD336" s="186" t="n">
        <f aca="false">IF(AND(ISNUMBER($T336),$P336="高"),IF($T336=3,1,0),0)</f>
        <v>0</v>
      </c>
      <c r="AE336" s="186" t="n">
        <f aca="false">IF($S336="不存在",1,0)</f>
        <v>0</v>
      </c>
      <c r="AF336" s="35" t="n">
        <f aca="false">IF(OR($H336="—",$H336=""),"—",MATCH($H336,IDX_SrcID,0))</f>
        <v>302</v>
      </c>
      <c r="AG336" s="104" t="n">
        <f aca="false">IF(AND($P336="高",OR($AD336=1,$X336=1)),1,0)</f>
        <v>0</v>
      </c>
      <c r="AH336" s="104" t="n">
        <f aca="false">IF(AND($P336="高",$AG336=0,OR($F336&lt;&gt;"原始數據",$T336&lt;&gt;1)),1,0)</f>
        <v>0</v>
      </c>
      <c r="AI336" s="53" t="str">
        <f aca="false">IF(AND($P336="高",ISNUMBER($AF336)),INDEX(IDX_SrcDate,$AF336),"—")</f>
        <v>—</v>
      </c>
      <c r="AJ336" s="104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6" t="s">
        <v>3976</v>
      </c>
      <c r="B337" s="215" t="s">
        <v>3183</v>
      </c>
      <c r="C337" s="36" t="s">
        <v>3923</v>
      </c>
      <c r="D337" s="36" t="s">
        <v>3977</v>
      </c>
      <c r="E337" s="6" t="s">
        <v>427</v>
      </c>
      <c r="F337" s="215" t="s">
        <v>298</v>
      </c>
      <c r="G337" s="215" t="s">
        <v>3185</v>
      </c>
      <c r="H337" s="36" t="s">
        <v>3973</v>
      </c>
      <c r="I337" s="19" t="s">
        <v>3220</v>
      </c>
      <c r="J337" s="36" t="s">
        <v>587</v>
      </c>
      <c r="K337" s="215"/>
      <c r="L337" s="215"/>
      <c r="M337" s="36" t="s">
        <v>587</v>
      </c>
      <c r="N337" s="19" t="s">
        <v>3318</v>
      </c>
      <c r="O337" s="6" t="s">
        <v>587</v>
      </c>
      <c r="P337" s="215" t="s">
        <v>1116</v>
      </c>
      <c r="Q337" s="41" t="n">
        <f aca="false">Calib!H15</f>
        <v>8192</v>
      </c>
      <c r="R337" s="185" t="n">
        <f aca="false">SRC_PERF_014_ISL</f>
        <v>8192</v>
      </c>
      <c r="S337" s="35" t="str">
        <f aca="false">IF(ISNUMBER($AF337),INDEX(IDX_SrcStat,$AF337),"—")</f>
        <v>Active</v>
      </c>
      <c r="T337" s="35" t="n">
        <f aca="false">IF(ISNUMBER($AF337),INDEX(IDX_SrcGrade,$AF337),"—")</f>
        <v>1</v>
      </c>
      <c r="U337" s="35" t="s">
        <v>3222</v>
      </c>
      <c r="V337" s="186" t="n">
        <f aca="false">IF(AND($F337="原始數據",$U337&lt;&gt;"連結 SRC"),1,0)</f>
        <v>0</v>
      </c>
      <c r="W337" s="186" t="n">
        <f aca="false">IF(AND($F337="Analogy",OR($H337="—",$H337="")),1,0)</f>
        <v>0</v>
      </c>
      <c r="X337" s="186" t="n">
        <f aca="false">IF(AND(OR($F337="Analogy",$F337="Assumed"),$G337&lt;&gt;"低",$G337&lt;&gt;"高",NOT(ISNUMBER($K337)),NOT(ISNUMBER($L337)),OR($M337="—",$M337="")),1,0)</f>
        <v>0</v>
      </c>
      <c r="Y337" s="186" t="n">
        <f aca="false">IF(AND(OR($F337="Analogy",$F337="Assumed",$F337="Derived（待改公式）",$F337="Derived（公式）"),OR($N337="—",$N337="",$N337=0)),1,0)</f>
        <v>0</v>
      </c>
      <c r="Z337" s="186" t="n">
        <f aca="false">IF(AND($F337="Decision",OR($J337="—",$J337="")),1,0)</f>
        <v>0</v>
      </c>
      <c r="AA337" s="183" t="n">
        <f aca="false">IF(OR($J337="—",$J337=""),0,IF(COUNTIF(Decisions!$A$5:$A$300,$J337)=0,1,0))</f>
        <v>0</v>
      </c>
      <c r="AB337" s="186" t="n">
        <f aca="false">IF(AND($F337="原始數據",$S337&lt;&gt;"Active"),1,0)</f>
        <v>0</v>
      </c>
      <c r="AC337" s="186" t="n">
        <f aca="false">IF(AND(ISNUMBER($K337),ISNUMBER($L337),ISNUMBER($Q337)),IF(OR($Q337&lt;MIN($K337,$L337),$Q337&gt;MAX($K337,$L337)),1,0),0)</f>
        <v>0</v>
      </c>
      <c r="AD337" s="186" t="n">
        <f aca="false">IF(AND(ISNUMBER($T337),$P337="高"),IF($T337=3,1,0),0)</f>
        <v>0</v>
      </c>
      <c r="AE337" s="186" t="n">
        <f aca="false">IF($S337="不存在",1,0)</f>
        <v>0</v>
      </c>
      <c r="AF337" s="35" t="n">
        <f aca="false">IF(OR($H337="—",$H337=""),"—",MATCH($H337,IDX_SrcID,0))</f>
        <v>302</v>
      </c>
      <c r="AG337" s="104" t="n">
        <f aca="false">IF(AND($P337="高",OR($AD337=1,$X337=1)),1,0)</f>
        <v>0</v>
      </c>
      <c r="AH337" s="104" t="n">
        <f aca="false">IF(AND($P337="高",$AG337=0,OR($F337&lt;&gt;"原始數據",$T337&lt;&gt;1)),1,0)</f>
        <v>0</v>
      </c>
      <c r="AI337" s="53" t="str">
        <f aca="false">IF(AND($P337="高",ISNUMBER($AF337)),INDEX(IDX_SrcDate,$AF337),"—")</f>
        <v>—</v>
      </c>
      <c r="AJ337" s="104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6" t="s">
        <v>3978</v>
      </c>
      <c r="B338" s="215" t="s">
        <v>3183</v>
      </c>
      <c r="C338" s="36" t="s">
        <v>3923</v>
      </c>
      <c r="D338" s="36" t="s">
        <v>3979</v>
      </c>
      <c r="E338" s="6" t="s">
        <v>428</v>
      </c>
      <c r="F338" s="215" t="s">
        <v>298</v>
      </c>
      <c r="G338" s="215" t="s">
        <v>3185</v>
      </c>
      <c r="H338" s="36" t="s">
        <v>3973</v>
      </c>
      <c r="I338" s="19" t="s">
        <v>3220</v>
      </c>
      <c r="J338" s="36" t="s">
        <v>587</v>
      </c>
      <c r="K338" s="215"/>
      <c r="L338" s="215"/>
      <c r="M338" s="36" t="s">
        <v>587</v>
      </c>
      <c r="N338" s="19" t="s">
        <v>3318</v>
      </c>
      <c r="O338" s="6" t="s">
        <v>587</v>
      </c>
      <c r="P338" s="215" t="s">
        <v>1116</v>
      </c>
      <c r="Q338" s="41" t="n">
        <f aca="false">Calib!H16</f>
        <v>1024</v>
      </c>
      <c r="R338" s="185" t="n">
        <f aca="false">SRC_PERF_014_OSL</f>
        <v>1024</v>
      </c>
      <c r="S338" s="35" t="str">
        <f aca="false">IF(ISNUMBER($AF338),INDEX(IDX_SrcStat,$AF338),"—")</f>
        <v>Active</v>
      </c>
      <c r="T338" s="35" t="n">
        <f aca="false">IF(ISNUMBER($AF338),INDEX(IDX_SrcGrade,$AF338),"—")</f>
        <v>1</v>
      </c>
      <c r="U338" s="35" t="s">
        <v>3222</v>
      </c>
      <c r="V338" s="186" t="n">
        <f aca="false">IF(AND($F338="原始數據",$U338&lt;&gt;"連結 SRC"),1,0)</f>
        <v>0</v>
      </c>
      <c r="W338" s="186" t="n">
        <f aca="false">IF(AND($F338="Analogy",OR($H338="—",$H338="")),1,0)</f>
        <v>0</v>
      </c>
      <c r="X338" s="186" t="n">
        <f aca="false">IF(AND(OR($F338="Analogy",$F338="Assumed"),$G338&lt;&gt;"低",$G338&lt;&gt;"高",NOT(ISNUMBER($K338)),NOT(ISNUMBER($L338)),OR($M338="—",$M338="")),1,0)</f>
        <v>0</v>
      </c>
      <c r="Y338" s="186" t="n">
        <f aca="false">IF(AND(OR($F338="Analogy",$F338="Assumed",$F338="Derived（待改公式）",$F338="Derived（公式）"),OR($N338="—",$N338="",$N338=0)),1,0)</f>
        <v>0</v>
      </c>
      <c r="Z338" s="186" t="n">
        <f aca="false">IF(AND($F338="Decision",OR($J338="—",$J338="")),1,0)</f>
        <v>0</v>
      </c>
      <c r="AA338" s="183" t="n">
        <f aca="false">IF(OR($J338="—",$J338=""),0,IF(COUNTIF(Decisions!$A$5:$A$300,$J338)=0,1,0))</f>
        <v>0</v>
      </c>
      <c r="AB338" s="186" t="n">
        <f aca="false">IF(AND($F338="原始數據",$S338&lt;&gt;"Active"),1,0)</f>
        <v>0</v>
      </c>
      <c r="AC338" s="186" t="n">
        <f aca="false">IF(AND(ISNUMBER($K338),ISNUMBER($L338),ISNUMBER($Q338)),IF(OR($Q338&lt;MIN($K338,$L338),$Q338&gt;MAX($K338,$L338)),1,0),0)</f>
        <v>0</v>
      </c>
      <c r="AD338" s="186" t="n">
        <f aca="false">IF(AND(ISNUMBER($T338),$P338="高"),IF($T338=3,1,0),0)</f>
        <v>0</v>
      </c>
      <c r="AE338" s="186" t="n">
        <f aca="false">IF($S338="不存在",1,0)</f>
        <v>0</v>
      </c>
      <c r="AF338" s="35" t="n">
        <f aca="false">IF(OR($H338="—",$H338=""),"—",MATCH($H338,IDX_SrcID,0))</f>
        <v>302</v>
      </c>
      <c r="AG338" s="104" t="n">
        <f aca="false">IF(AND($P338="高",OR($AD338=1,$X338=1)),1,0)</f>
        <v>0</v>
      </c>
      <c r="AH338" s="104" t="n">
        <f aca="false">IF(AND($P338="高",$AG338=0,OR($F338&lt;&gt;"原始數據",$T338&lt;&gt;1)),1,0)</f>
        <v>0</v>
      </c>
      <c r="AI338" s="53" t="str">
        <f aca="false">IF(AND($P338="高",ISNUMBER($AF338)),INDEX(IDX_SrcDate,$AF338),"—")</f>
        <v>—</v>
      </c>
      <c r="AJ338" s="104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6" t="s">
        <v>3980</v>
      </c>
      <c r="B339" s="215" t="s">
        <v>3183</v>
      </c>
      <c r="C339" s="36" t="s">
        <v>3923</v>
      </c>
      <c r="D339" s="36" t="s">
        <v>3981</v>
      </c>
      <c r="E339" s="19" t="s">
        <v>3938</v>
      </c>
      <c r="F339" s="215" t="s">
        <v>298</v>
      </c>
      <c r="G339" s="215" t="s">
        <v>3185</v>
      </c>
      <c r="H339" s="36" t="s">
        <v>3973</v>
      </c>
      <c r="I339" s="19" t="s">
        <v>3220</v>
      </c>
      <c r="J339" s="36" t="s">
        <v>587</v>
      </c>
      <c r="K339" s="215"/>
      <c r="L339" s="215"/>
      <c r="M339" s="36" t="s">
        <v>587</v>
      </c>
      <c r="N339" s="19" t="s">
        <v>3318</v>
      </c>
      <c r="O339" s="6" t="s">
        <v>587</v>
      </c>
      <c r="P339" s="215" t="s">
        <v>1116</v>
      </c>
      <c r="Q339" s="41" t="n">
        <f aca="false">Calib!H17</f>
        <v>3795.5</v>
      </c>
      <c r="R339" s="185" t="n">
        <f aca="false">SRC_PERF_014</f>
        <v>3795.5</v>
      </c>
      <c r="S339" s="35" t="str">
        <f aca="false">IF(ISNUMBER($AF339),INDEX(IDX_SrcStat,$AF339),"—")</f>
        <v>Active</v>
      </c>
      <c r="T339" s="35" t="n">
        <f aca="false">IF(ISNUMBER($AF339),INDEX(IDX_SrcGrade,$AF339),"—")</f>
        <v>1</v>
      </c>
      <c r="U339" s="35" t="s">
        <v>3222</v>
      </c>
      <c r="V339" s="186" t="n">
        <f aca="false">IF(AND($F339="原始數據",$U339&lt;&gt;"連結 SRC"),1,0)</f>
        <v>0</v>
      </c>
      <c r="W339" s="186" t="n">
        <f aca="false">IF(AND($F339="Analogy",OR($H339="—",$H339="")),1,0)</f>
        <v>0</v>
      </c>
      <c r="X339" s="186" t="n">
        <f aca="false">IF(AND(OR($F339="Analogy",$F339="Assumed"),$G339&lt;&gt;"低",$G339&lt;&gt;"高",NOT(ISNUMBER($K339)),NOT(ISNUMBER($L339)),OR($M339="—",$M339="")),1,0)</f>
        <v>0</v>
      </c>
      <c r="Y339" s="186" t="n">
        <f aca="false">IF(AND(OR($F339="Analogy",$F339="Assumed",$F339="Derived（待改公式）",$F339="Derived（公式）"),OR($N339="—",$N339="",$N339=0)),1,0)</f>
        <v>0</v>
      </c>
      <c r="Z339" s="186" t="n">
        <f aca="false">IF(AND($F339="Decision",OR($J339="—",$J339="")),1,0)</f>
        <v>0</v>
      </c>
      <c r="AA339" s="183" t="n">
        <f aca="false">IF(OR($J339="—",$J339=""),0,IF(COUNTIF(Decisions!$A$5:$A$300,$J339)=0,1,0))</f>
        <v>0</v>
      </c>
      <c r="AB339" s="186" t="n">
        <f aca="false">IF(AND($F339="原始數據",$S339&lt;&gt;"Active"),1,0)</f>
        <v>0</v>
      </c>
      <c r="AC339" s="186" t="n">
        <f aca="false">IF(AND(ISNUMBER($K339),ISNUMBER($L339),ISNUMBER($Q339)),IF(OR($Q339&lt;MIN($K339,$L339),$Q339&gt;MAX($K339,$L339)),1,0),0)</f>
        <v>0</v>
      </c>
      <c r="AD339" s="186" t="n">
        <f aca="false">IF(AND(ISNUMBER($T339),$P339="高"),IF($T339=3,1,0),0)</f>
        <v>0</v>
      </c>
      <c r="AE339" s="186" t="n">
        <f aca="false">IF($S339="不存在",1,0)</f>
        <v>0</v>
      </c>
      <c r="AF339" s="35" t="n">
        <f aca="false">IF(OR($H339="—",$H339=""),"—",MATCH($H339,IDX_SrcID,0))</f>
        <v>302</v>
      </c>
      <c r="AG339" s="104" t="n">
        <f aca="false">IF(AND($P339="高",OR($AD339=1,$X339=1)),1,0)</f>
        <v>0</v>
      </c>
      <c r="AH339" s="104" t="n">
        <f aca="false">IF(AND($P339="高",$AG339=0,OR($F339&lt;&gt;"原始數據",$T339&lt;&gt;1)),1,0)</f>
        <v>0</v>
      </c>
      <c r="AI339" s="53" t="str">
        <f aca="false">IF(AND($P339="高",ISNUMBER($AF339)),INDEX(IDX_SrcDate,$AF339),"—")</f>
        <v>—</v>
      </c>
      <c r="AJ339" s="104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6" t="s">
        <v>3982</v>
      </c>
      <c r="B340" s="215" t="s">
        <v>3183</v>
      </c>
      <c r="C340" s="36" t="s">
        <v>3923</v>
      </c>
      <c r="D340" s="36" t="s">
        <v>3983</v>
      </c>
      <c r="E340" s="6" t="s">
        <v>425</v>
      </c>
      <c r="F340" s="215" t="s">
        <v>298</v>
      </c>
      <c r="G340" s="215" t="s">
        <v>3185</v>
      </c>
      <c r="H340" s="36" t="s">
        <v>3984</v>
      </c>
      <c r="I340" s="19" t="s">
        <v>3220</v>
      </c>
      <c r="J340" s="36" t="s">
        <v>587</v>
      </c>
      <c r="K340" s="215"/>
      <c r="L340" s="215"/>
      <c r="M340" s="36" t="s">
        <v>587</v>
      </c>
      <c r="N340" s="19" t="s">
        <v>3318</v>
      </c>
      <c r="O340" s="6" t="s">
        <v>587</v>
      </c>
      <c r="P340" s="215" t="s">
        <v>3188</v>
      </c>
      <c r="Q340" s="183" t="n">
        <f aca="false">Calib!I13</f>
        <v>1</v>
      </c>
      <c r="R340" s="185" t="n">
        <f aca="false">SRC_PERF_015_MTP</f>
        <v>1</v>
      </c>
      <c r="S340" s="35" t="str">
        <f aca="false">IF(ISNUMBER($AF340),INDEX(IDX_SrcStat,$AF340),"—")</f>
        <v>Active</v>
      </c>
      <c r="T340" s="35" t="n">
        <f aca="false">IF(ISNUMBER($AF340),INDEX(IDX_SrcGrade,$AF340),"—")</f>
        <v>1</v>
      </c>
      <c r="U340" s="35" t="s">
        <v>3222</v>
      </c>
      <c r="V340" s="186" t="n">
        <f aca="false">IF(AND($F340="原始數據",$U340&lt;&gt;"連結 SRC"),1,0)</f>
        <v>0</v>
      </c>
      <c r="W340" s="186" t="n">
        <f aca="false">IF(AND($F340="Analogy",OR($H340="—",$H340="")),1,0)</f>
        <v>0</v>
      </c>
      <c r="X340" s="186" t="n">
        <f aca="false">IF(AND(OR($F340="Analogy",$F340="Assumed"),$G340&lt;&gt;"低",$G340&lt;&gt;"高",NOT(ISNUMBER($K340)),NOT(ISNUMBER($L340)),OR($M340="—",$M340="")),1,0)</f>
        <v>0</v>
      </c>
      <c r="Y340" s="186" t="n">
        <f aca="false">IF(AND(OR($F340="Analogy",$F340="Assumed",$F340="Derived（待改公式）",$F340="Derived（公式）"),OR($N340="—",$N340="",$N340=0)),1,0)</f>
        <v>0</v>
      </c>
      <c r="Z340" s="186" t="n">
        <f aca="false">IF(AND($F340="Decision",OR($J340="—",$J340="")),1,0)</f>
        <v>0</v>
      </c>
      <c r="AA340" s="183" t="n">
        <f aca="false">IF(OR($J340="—",$J340=""),0,IF(COUNTIF(Decisions!$A$5:$A$300,$J340)=0,1,0))</f>
        <v>0</v>
      </c>
      <c r="AB340" s="186" t="n">
        <f aca="false">IF(AND($F340="原始數據",$S340&lt;&gt;"Active"),1,0)</f>
        <v>0</v>
      </c>
      <c r="AC340" s="186" t="n">
        <f aca="false">IF(AND(ISNUMBER($K340),ISNUMBER($L340),ISNUMBER($Q340)),IF(OR($Q340&lt;MIN($K340,$L340),$Q340&gt;MAX($K340,$L340)),1,0),0)</f>
        <v>0</v>
      </c>
      <c r="AD340" s="186" t="n">
        <f aca="false">IF(AND(ISNUMBER($T340),$P340="高"),IF($T340=3,1,0),0)</f>
        <v>0</v>
      </c>
      <c r="AE340" s="186" t="n">
        <f aca="false">IF($S340="不存在",1,0)</f>
        <v>0</v>
      </c>
      <c r="AF340" s="35" t="n">
        <f aca="false">IF(OR($H340="—",$H340=""),"—",MATCH($H340,IDX_SrcID,0))</f>
        <v>303</v>
      </c>
      <c r="AG340" s="104" t="n">
        <f aca="false">IF(AND($P340="高",OR($AD340=1,$X340=1)),1,0)</f>
        <v>0</v>
      </c>
      <c r="AH340" s="104" t="n">
        <f aca="false">IF(AND($P340="高",$AG340=0,OR($F340&lt;&gt;"原始數據",$T340&lt;&gt;1)),1,0)</f>
        <v>0</v>
      </c>
      <c r="AI340" s="53" t="str">
        <f aca="false">IF(AND($P340="高",ISNUMBER($AF340)),INDEX(IDX_SrcDate,$AF340),"—")</f>
        <v>—</v>
      </c>
      <c r="AJ340" s="104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6" t="s">
        <v>3985</v>
      </c>
      <c r="B341" s="215" t="s">
        <v>3183</v>
      </c>
      <c r="C341" s="36" t="s">
        <v>3923</v>
      </c>
      <c r="D341" s="36" t="s">
        <v>3986</v>
      </c>
      <c r="E341" s="19" t="s">
        <v>426</v>
      </c>
      <c r="F341" s="215" t="s">
        <v>298</v>
      </c>
      <c r="G341" s="215" t="s">
        <v>3185</v>
      </c>
      <c r="H341" s="36" t="s">
        <v>3984</v>
      </c>
      <c r="I341" s="19" t="s">
        <v>3220</v>
      </c>
      <c r="J341" s="36" t="s">
        <v>587</v>
      </c>
      <c r="K341" s="215"/>
      <c r="L341" s="215"/>
      <c r="M341" s="36" t="s">
        <v>587</v>
      </c>
      <c r="N341" s="19" t="s">
        <v>3318</v>
      </c>
      <c r="O341" s="6" t="s">
        <v>587</v>
      </c>
      <c r="P341" s="215" t="s">
        <v>1116</v>
      </c>
      <c r="Q341" s="41" t="n">
        <f aca="false">Calib!I14</f>
        <v>110</v>
      </c>
      <c r="R341" s="185" t="n">
        <f aca="false">SRC_PERF_015_Spd</f>
        <v>110</v>
      </c>
      <c r="S341" s="35" t="str">
        <f aca="false">IF(ISNUMBER($AF341),INDEX(IDX_SrcStat,$AF341),"—")</f>
        <v>Active</v>
      </c>
      <c r="T341" s="35" t="n">
        <f aca="false">IF(ISNUMBER($AF341),INDEX(IDX_SrcGrade,$AF341),"—")</f>
        <v>1</v>
      </c>
      <c r="U341" s="35" t="s">
        <v>3222</v>
      </c>
      <c r="V341" s="186" t="n">
        <f aca="false">IF(AND($F341="原始數據",$U341&lt;&gt;"連結 SRC"),1,0)</f>
        <v>0</v>
      </c>
      <c r="W341" s="186" t="n">
        <f aca="false">IF(AND($F341="Analogy",OR($H341="—",$H341="")),1,0)</f>
        <v>0</v>
      </c>
      <c r="X341" s="186" t="n">
        <f aca="false">IF(AND(OR($F341="Analogy",$F341="Assumed"),$G341&lt;&gt;"低",$G341&lt;&gt;"高",NOT(ISNUMBER($K341)),NOT(ISNUMBER($L341)),OR($M341="—",$M341="")),1,0)</f>
        <v>0</v>
      </c>
      <c r="Y341" s="186" t="n">
        <f aca="false">IF(AND(OR($F341="Analogy",$F341="Assumed",$F341="Derived（待改公式）",$F341="Derived（公式）"),OR($N341="—",$N341="",$N341=0)),1,0)</f>
        <v>0</v>
      </c>
      <c r="Z341" s="186" t="n">
        <f aca="false">IF(AND($F341="Decision",OR($J341="—",$J341="")),1,0)</f>
        <v>0</v>
      </c>
      <c r="AA341" s="183" t="n">
        <f aca="false">IF(OR($J341="—",$J341=""),0,IF(COUNTIF(Decisions!$A$5:$A$300,$J341)=0,1,0))</f>
        <v>0</v>
      </c>
      <c r="AB341" s="186" t="n">
        <f aca="false">IF(AND($F341="原始數據",$S341&lt;&gt;"Active"),1,0)</f>
        <v>0</v>
      </c>
      <c r="AC341" s="186" t="n">
        <f aca="false">IF(AND(ISNUMBER($K341),ISNUMBER($L341),ISNUMBER($Q341)),IF(OR($Q341&lt;MIN($K341,$L341),$Q341&gt;MAX($K341,$L341)),1,0),0)</f>
        <v>0</v>
      </c>
      <c r="AD341" s="186" t="n">
        <f aca="false">IF(AND(ISNUMBER($T341),$P341="高"),IF($T341=3,1,0),0)</f>
        <v>0</v>
      </c>
      <c r="AE341" s="186" t="n">
        <f aca="false">IF($S341="不存在",1,0)</f>
        <v>0</v>
      </c>
      <c r="AF341" s="35" t="n">
        <f aca="false">IF(OR($H341="—",$H341=""),"—",MATCH($H341,IDX_SrcID,0))</f>
        <v>303</v>
      </c>
      <c r="AG341" s="104" t="n">
        <f aca="false">IF(AND($P341="高",OR($AD341=1,$X341=1)),1,0)</f>
        <v>0</v>
      </c>
      <c r="AH341" s="104" t="n">
        <f aca="false">IF(AND($P341="高",$AG341=0,OR($F341&lt;&gt;"原始數據",$T341&lt;&gt;1)),1,0)</f>
        <v>0</v>
      </c>
      <c r="AI341" s="53" t="str">
        <f aca="false">IF(AND($P341="高",ISNUMBER($AF341)),INDEX(IDX_SrcDate,$AF341),"—")</f>
        <v>—</v>
      </c>
      <c r="AJ341" s="104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6" t="s">
        <v>3987</v>
      </c>
      <c r="B342" s="215" t="s">
        <v>3183</v>
      </c>
      <c r="C342" s="36" t="s">
        <v>3923</v>
      </c>
      <c r="D342" s="36" t="s">
        <v>3988</v>
      </c>
      <c r="E342" s="6" t="s">
        <v>427</v>
      </c>
      <c r="F342" s="215" t="s">
        <v>298</v>
      </c>
      <c r="G342" s="215" t="s">
        <v>3185</v>
      </c>
      <c r="H342" s="36" t="s">
        <v>3984</v>
      </c>
      <c r="I342" s="19" t="s">
        <v>3220</v>
      </c>
      <c r="J342" s="36" t="s">
        <v>587</v>
      </c>
      <c r="K342" s="215"/>
      <c r="L342" s="215"/>
      <c r="M342" s="36" t="s">
        <v>587</v>
      </c>
      <c r="N342" s="19" t="s">
        <v>3318</v>
      </c>
      <c r="O342" s="6" t="s">
        <v>587</v>
      </c>
      <c r="P342" s="215" t="s">
        <v>1116</v>
      </c>
      <c r="Q342" s="41" t="n">
        <f aca="false">Calib!I15</f>
        <v>8192</v>
      </c>
      <c r="R342" s="185" t="n">
        <f aca="false">SRC_PERF_015_ISL</f>
        <v>8192</v>
      </c>
      <c r="S342" s="35" t="str">
        <f aca="false">IF(ISNUMBER($AF342),INDEX(IDX_SrcStat,$AF342),"—")</f>
        <v>Active</v>
      </c>
      <c r="T342" s="35" t="n">
        <f aca="false">IF(ISNUMBER($AF342),INDEX(IDX_SrcGrade,$AF342),"—")</f>
        <v>1</v>
      </c>
      <c r="U342" s="35" t="s">
        <v>3222</v>
      </c>
      <c r="V342" s="186" t="n">
        <f aca="false">IF(AND($F342="原始數據",$U342&lt;&gt;"連結 SRC"),1,0)</f>
        <v>0</v>
      </c>
      <c r="W342" s="186" t="n">
        <f aca="false">IF(AND($F342="Analogy",OR($H342="—",$H342="")),1,0)</f>
        <v>0</v>
      </c>
      <c r="X342" s="186" t="n">
        <f aca="false">IF(AND(OR($F342="Analogy",$F342="Assumed"),$G342&lt;&gt;"低",$G342&lt;&gt;"高",NOT(ISNUMBER($K342)),NOT(ISNUMBER($L342)),OR($M342="—",$M342="")),1,0)</f>
        <v>0</v>
      </c>
      <c r="Y342" s="186" t="n">
        <f aca="false">IF(AND(OR($F342="Analogy",$F342="Assumed",$F342="Derived（待改公式）",$F342="Derived（公式）"),OR($N342="—",$N342="",$N342=0)),1,0)</f>
        <v>0</v>
      </c>
      <c r="Z342" s="186" t="n">
        <f aca="false">IF(AND($F342="Decision",OR($J342="—",$J342="")),1,0)</f>
        <v>0</v>
      </c>
      <c r="AA342" s="183" t="n">
        <f aca="false">IF(OR($J342="—",$J342=""),0,IF(COUNTIF(Decisions!$A$5:$A$300,$J342)=0,1,0))</f>
        <v>0</v>
      </c>
      <c r="AB342" s="186" t="n">
        <f aca="false">IF(AND($F342="原始數據",$S342&lt;&gt;"Active"),1,0)</f>
        <v>0</v>
      </c>
      <c r="AC342" s="186" t="n">
        <f aca="false">IF(AND(ISNUMBER($K342),ISNUMBER($L342),ISNUMBER($Q342)),IF(OR($Q342&lt;MIN($K342,$L342),$Q342&gt;MAX($K342,$L342)),1,0),0)</f>
        <v>0</v>
      </c>
      <c r="AD342" s="186" t="n">
        <f aca="false">IF(AND(ISNUMBER($T342),$P342="高"),IF($T342=3,1,0),0)</f>
        <v>0</v>
      </c>
      <c r="AE342" s="186" t="n">
        <f aca="false">IF($S342="不存在",1,0)</f>
        <v>0</v>
      </c>
      <c r="AF342" s="35" t="n">
        <f aca="false">IF(OR($H342="—",$H342=""),"—",MATCH($H342,IDX_SrcID,0))</f>
        <v>303</v>
      </c>
      <c r="AG342" s="104" t="n">
        <f aca="false">IF(AND($P342="高",OR($AD342=1,$X342=1)),1,0)</f>
        <v>0</v>
      </c>
      <c r="AH342" s="104" t="n">
        <f aca="false">IF(AND($P342="高",$AG342=0,OR($F342&lt;&gt;"原始數據",$T342&lt;&gt;1)),1,0)</f>
        <v>0</v>
      </c>
      <c r="AI342" s="53" t="str">
        <f aca="false">IF(AND($P342="高",ISNUMBER($AF342)),INDEX(IDX_SrcDate,$AF342),"—")</f>
        <v>—</v>
      </c>
      <c r="AJ342" s="104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6" t="s">
        <v>3989</v>
      </c>
      <c r="B343" s="215" t="s">
        <v>3183</v>
      </c>
      <c r="C343" s="36" t="s">
        <v>3923</v>
      </c>
      <c r="D343" s="36" t="s">
        <v>3990</v>
      </c>
      <c r="E343" s="6" t="s">
        <v>428</v>
      </c>
      <c r="F343" s="215" t="s">
        <v>298</v>
      </c>
      <c r="G343" s="215" t="s">
        <v>3185</v>
      </c>
      <c r="H343" s="36" t="s">
        <v>3984</v>
      </c>
      <c r="I343" s="19" t="s">
        <v>3220</v>
      </c>
      <c r="J343" s="36" t="s">
        <v>587</v>
      </c>
      <c r="K343" s="215"/>
      <c r="L343" s="215"/>
      <c r="M343" s="36" t="s">
        <v>587</v>
      </c>
      <c r="N343" s="19" t="s">
        <v>3318</v>
      </c>
      <c r="O343" s="6" t="s">
        <v>587</v>
      </c>
      <c r="P343" s="215" t="s">
        <v>1116</v>
      </c>
      <c r="Q343" s="41" t="n">
        <f aca="false">Calib!I16</f>
        <v>1024</v>
      </c>
      <c r="R343" s="185" t="n">
        <f aca="false">SRC_PERF_015_OSL</f>
        <v>1024</v>
      </c>
      <c r="S343" s="35" t="str">
        <f aca="false">IF(ISNUMBER($AF343),INDEX(IDX_SrcStat,$AF343),"—")</f>
        <v>Active</v>
      </c>
      <c r="T343" s="35" t="n">
        <f aca="false">IF(ISNUMBER($AF343),INDEX(IDX_SrcGrade,$AF343),"—")</f>
        <v>1</v>
      </c>
      <c r="U343" s="35" t="s">
        <v>3222</v>
      </c>
      <c r="V343" s="186" t="n">
        <f aca="false">IF(AND($F343="原始數據",$U343&lt;&gt;"連結 SRC"),1,0)</f>
        <v>0</v>
      </c>
      <c r="W343" s="186" t="n">
        <f aca="false">IF(AND($F343="Analogy",OR($H343="—",$H343="")),1,0)</f>
        <v>0</v>
      </c>
      <c r="X343" s="186" t="n">
        <f aca="false">IF(AND(OR($F343="Analogy",$F343="Assumed"),$G343&lt;&gt;"低",$G343&lt;&gt;"高",NOT(ISNUMBER($K343)),NOT(ISNUMBER($L343)),OR($M343="—",$M343="")),1,0)</f>
        <v>0</v>
      </c>
      <c r="Y343" s="186" t="n">
        <f aca="false">IF(AND(OR($F343="Analogy",$F343="Assumed",$F343="Derived（待改公式）",$F343="Derived（公式）"),OR($N343="—",$N343="",$N343=0)),1,0)</f>
        <v>0</v>
      </c>
      <c r="Z343" s="186" t="n">
        <f aca="false">IF(AND($F343="Decision",OR($J343="—",$J343="")),1,0)</f>
        <v>0</v>
      </c>
      <c r="AA343" s="183" t="n">
        <f aca="false">IF(OR($J343="—",$J343=""),0,IF(COUNTIF(Decisions!$A$5:$A$300,$J343)=0,1,0))</f>
        <v>0</v>
      </c>
      <c r="AB343" s="186" t="n">
        <f aca="false">IF(AND($F343="原始數據",$S343&lt;&gt;"Active"),1,0)</f>
        <v>0</v>
      </c>
      <c r="AC343" s="186" t="n">
        <f aca="false">IF(AND(ISNUMBER($K343),ISNUMBER($L343),ISNUMBER($Q343)),IF(OR($Q343&lt;MIN($K343,$L343),$Q343&gt;MAX($K343,$L343)),1,0),0)</f>
        <v>0</v>
      </c>
      <c r="AD343" s="186" t="n">
        <f aca="false">IF(AND(ISNUMBER($T343),$P343="高"),IF($T343=3,1,0),0)</f>
        <v>0</v>
      </c>
      <c r="AE343" s="186" t="n">
        <f aca="false">IF($S343="不存在",1,0)</f>
        <v>0</v>
      </c>
      <c r="AF343" s="35" t="n">
        <f aca="false">IF(OR($H343="—",$H343=""),"—",MATCH($H343,IDX_SrcID,0))</f>
        <v>303</v>
      </c>
      <c r="AG343" s="104" t="n">
        <f aca="false">IF(AND($P343="高",OR($AD343=1,$X343=1)),1,0)</f>
        <v>0</v>
      </c>
      <c r="AH343" s="104" t="n">
        <f aca="false">IF(AND($P343="高",$AG343=0,OR($F343&lt;&gt;"原始數據",$T343&lt;&gt;1)),1,0)</f>
        <v>0</v>
      </c>
      <c r="AI343" s="53" t="str">
        <f aca="false">IF(AND($P343="高",ISNUMBER($AF343)),INDEX(IDX_SrcDate,$AF343),"—")</f>
        <v>—</v>
      </c>
      <c r="AJ343" s="104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6" t="s">
        <v>3991</v>
      </c>
      <c r="B344" s="215" t="s">
        <v>3183</v>
      </c>
      <c r="C344" s="36" t="s">
        <v>3923</v>
      </c>
      <c r="D344" s="36" t="s">
        <v>3992</v>
      </c>
      <c r="E344" s="19" t="s">
        <v>3938</v>
      </c>
      <c r="F344" s="215" t="s">
        <v>298</v>
      </c>
      <c r="G344" s="215" t="s">
        <v>3185</v>
      </c>
      <c r="H344" s="36" t="s">
        <v>3984</v>
      </c>
      <c r="I344" s="19" t="s">
        <v>3220</v>
      </c>
      <c r="J344" s="36" t="s">
        <v>587</v>
      </c>
      <c r="K344" s="215"/>
      <c r="L344" s="215"/>
      <c r="M344" s="36" t="s">
        <v>587</v>
      </c>
      <c r="N344" s="19" t="s">
        <v>3318</v>
      </c>
      <c r="O344" s="6" t="s">
        <v>587</v>
      </c>
      <c r="P344" s="215" t="s">
        <v>1116</v>
      </c>
      <c r="Q344" s="41" t="n">
        <f aca="false">Calib!I17</f>
        <v>6522.4</v>
      </c>
      <c r="R344" s="185" t="n">
        <f aca="false">SRC_PERF_015</f>
        <v>6522.4</v>
      </c>
      <c r="S344" s="35" t="str">
        <f aca="false">IF(ISNUMBER($AF344),INDEX(IDX_SrcStat,$AF344),"—")</f>
        <v>Active</v>
      </c>
      <c r="T344" s="35" t="n">
        <f aca="false">IF(ISNUMBER($AF344),INDEX(IDX_SrcGrade,$AF344),"—")</f>
        <v>1</v>
      </c>
      <c r="U344" s="35" t="s">
        <v>3222</v>
      </c>
      <c r="V344" s="186" t="n">
        <f aca="false">IF(AND($F344="原始數據",$U344&lt;&gt;"連結 SRC"),1,0)</f>
        <v>0</v>
      </c>
      <c r="W344" s="186" t="n">
        <f aca="false">IF(AND($F344="Analogy",OR($H344="—",$H344="")),1,0)</f>
        <v>0</v>
      </c>
      <c r="X344" s="186" t="n">
        <f aca="false">IF(AND(OR($F344="Analogy",$F344="Assumed"),$G344&lt;&gt;"低",$G344&lt;&gt;"高",NOT(ISNUMBER($K344)),NOT(ISNUMBER($L344)),OR($M344="—",$M344="")),1,0)</f>
        <v>0</v>
      </c>
      <c r="Y344" s="186" t="n">
        <f aca="false">IF(AND(OR($F344="Analogy",$F344="Assumed",$F344="Derived（待改公式）",$F344="Derived（公式）"),OR($N344="—",$N344="",$N344=0)),1,0)</f>
        <v>0</v>
      </c>
      <c r="Z344" s="186" t="n">
        <f aca="false">IF(AND($F344="Decision",OR($J344="—",$J344="")),1,0)</f>
        <v>0</v>
      </c>
      <c r="AA344" s="183" t="n">
        <f aca="false">IF(OR($J344="—",$J344=""),0,IF(COUNTIF(Decisions!$A$5:$A$300,$J344)=0,1,0))</f>
        <v>0</v>
      </c>
      <c r="AB344" s="186" t="n">
        <f aca="false">IF(AND($F344="原始數據",$S344&lt;&gt;"Active"),1,0)</f>
        <v>0</v>
      </c>
      <c r="AC344" s="186" t="n">
        <f aca="false">IF(AND(ISNUMBER($K344),ISNUMBER($L344),ISNUMBER($Q344)),IF(OR($Q344&lt;MIN($K344,$L344),$Q344&gt;MAX($K344,$L344)),1,0),0)</f>
        <v>0</v>
      </c>
      <c r="AD344" s="186" t="n">
        <f aca="false">IF(AND(ISNUMBER($T344),$P344="高"),IF($T344=3,1,0),0)</f>
        <v>0</v>
      </c>
      <c r="AE344" s="186" t="n">
        <f aca="false">IF($S344="不存在",1,0)</f>
        <v>0</v>
      </c>
      <c r="AF344" s="35" t="n">
        <f aca="false">IF(OR($H344="—",$H344=""),"—",MATCH($H344,IDX_SrcID,0))</f>
        <v>303</v>
      </c>
      <c r="AG344" s="104" t="n">
        <f aca="false">IF(AND($P344="高",OR($AD344=1,$X344=1)),1,0)</f>
        <v>0</v>
      </c>
      <c r="AH344" s="104" t="n">
        <f aca="false">IF(AND($P344="高",$AG344=0,OR($F344&lt;&gt;"原始數據",$T344&lt;&gt;1)),1,0)</f>
        <v>0</v>
      </c>
      <c r="AI344" s="53" t="str">
        <f aca="false">IF(AND($P344="高",ISNUMBER($AF344)),INDEX(IDX_SrcDate,$AF344),"—")</f>
        <v>—</v>
      </c>
      <c r="AJ344" s="104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6" t="s">
        <v>3993</v>
      </c>
      <c r="B345" s="215" t="s">
        <v>3183</v>
      </c>
      <c r="C345" s="36" t="s">
        <v>3923</v>
      </c>
      <c r="D345" s="36" t="s">
        <v>3994</v>
      </c>
      <c r="E345" s="6" t="s">
        <v>485</v>
      </c>
      <c r="F345" s="36" t="s">
        <v>84</v>
      </c>
      <c r="G345" s="215" t="s">
        <v>3185</v>
      </c>
      <c r="H345" s="36" t="s">
        <v>3995</v>
      </c>
      <c r="I345" s="19" t="s">
        <v>3996</v>
      </c>
      <c r="J345" s="36" t="s">
        <v>587</v>
      </c>
      <c r="K345" s="217" t="n">
        <v>0.5</v>
      </c>
      <c r="L345" s="217" t="n">
        <v>2.5</v>
      </c>
      <c r="M345" s="36" t="s">
        <v>3997</v>
      </c>
      <c r="N345" s="216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587</v>
      </c>
      <c r="P345" s="215" t="s">
        <v>1116</v>
      </c>
      <c r="Q345" s="175" t="n">
        <f aca="false">Calib!C67</f>
        <v>1.5</v>
      </c>
      <c r="R345" s="185" t="n">
        <f aca="false">SRC_PERF_042</f>
        <v>14800</v>
      </c>
      <c r="S345" s="35" t="str">
        <f aca="false">IF(ISNUMBER($AF345),INDEX(IDX_SrcStat,$AF345),"—")</f>
        <v>Active</v>
      </c>
      <c r="T345" s="35" t="n">
        <f aca="false">IF(ISNUMBER($AF345),INDEX(IDX_SrcGrade,$AF345),"—")</f>
        <v>1</v>
      </c>
      <c r="U345" s="35" t="s">
        <v>3189</v>
      </c>
      <c r="V345" s="186" t="n">
        <f aca="false">IF(AND($F345="原始數據",$U345&lt;&gt;"連結 SRC"),1,0)</f>
        <v>0</v>
      </c>
      <c r="W345" s="186" t="n">
        <f aca="false">IF(AND($F345="Analogy",OR($H345="—",$H345="")),1,0)</f>
        <v>0</v>
      </c>
      <c r="X345" s="186" t="n">
        <f aca="false">IF(AND(OR($F345="Analogy",$F345="Assumed"),$G345&lt;&gt;"低",$G345&lt;&gt;"高",NOT(ISNUMBER($K345)),NOT(ISNUMBER($L345)),OR($M345="—",$M345="")),1,0)</f>
        <v>0</v>
      </c>
      <c r="Y345" s="186" t="n">
        <f aca="false">IF(AND(OR($F345="Analogy",$F345="Assumed",$F345="Derived（待改公式）",$F345="Derived（公式）"),OR($N345="—",$N345="",$N345=0)),1,0)</f>
        <v>0</v>
      </c>
      <c r="Z345" s="186" t="n">
        <f aca="false">IF(AND($F345="Decision",OR($J345="—",$J345="")),1,0)</f>
        <v>0</v>
      </c>
      <c r="AA345" s="183" t="n">
        <f aca="false">IF(OR($J345="—",$J345=""),0,IF(COUNTIF(Decisions!$A$5:$A$300,$J345)=0,1,0))</f>
        <v>0</v>
      </c>
      <c r="AB345" s="186" t="n">
        <f aca="false">IF(AND($F345="原始數據",$S345&lt;&gt;"Active"),1,0)</f>
        <v>0</v>
      </c>
      <c r="AC345" s="186" t="n">
        <f aca="false">IF(AND(ISNUMBER($K345),ISNUMBER($L345),ISNUMBER($Q345)),IF(OR($Q345&lt;MIN($K345,$L345),$Q345&gt;MAX($K345,$L345)),1,0),0)</f>
        <v>0</v>
      </c>
      <c r="AD345" s="186" t="n">
        <f aca="false">IF(AND(ISNUMBER($T345),$P345="高"),IF($T345=3,1,0),0)</f>
        <v>0</v>
      </c>
      <c r="AE345" s="186" t="n">
        <f aca="false">IF($S345="不存在",1,0)</f>
        <v>0</v>
      </c>
      <c r="AF345" s="35" t="n">
        <f aca="false">IF(OR($H345="—",$H345=""),"—",MATCH($H345,IDX_SrcID,0))</f>
        <v>330</v>
      </c>
      <c r="AG345" s="104" t="n">
        <f aca="false">IF(AND($P345="高",OR($AD345=1,$X345=1)),1,0)</f>
        <v>0</v>
      </c>
      <c r="AH345" s="104" t="n">
        <f aca="false">IF(AND($P345="高",$AG345=0,OR($F345&lt;&gt;"原始數據",$T345&lt;&gt;1)),1,0)</f>
        <v>1</v>
      </c>
      <c r="AI345" s="53" t="str">
        <f aca="false">IF(AND($P345="高",ISNUMBER($AF345)),INDEX(IDX_SrcDate,$AF345),"—")</f>
        <v>—</v>
      </c>
      <c r="AJ345" s="104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6" t="s">
        <v>3998</v>
      </c>
      <c r="B346" s="215" t="s">
        <v>3183</v>
      </c>
      <c r="C346" s="36" t="s">
        <v>3923</v>
      </c>
      <c r="D346" s="36" t="s">
        <v>3999</v>
      </c>
      <c r="E346" s="6" t="s">
        <v>485</v>
      </c>
      <c r="F346" s="36" t="s">
        <v>84</v>
      </c>
      <c r="G346" s="215" t="s">
        <v>3185</v>
      </c>
      <c r="H346" s="36" t="s">
        <v>3933</v>
      </c>
      <c r="I346" s="19" t="s">
        <v>4000</v>
      </c>
      <c r="J346" s="36" t="s">
        <v>587</v>
      </c>
      <c r="K346" s="217" t="n">
        <v>0.5</v>
      </c>
      <c r="L346" s="217" t="n">
        <v>1.5</v>
      </c>
      <c r="M346" s="36" t="s">
        <v>4001</v>
      </c>
      <c r="N346" s="19" t="s">
        <v>4002</v>
      </c>
      <c r="O346" s="6" t="s">
        <v>587</v>
      </c>
      <c r="P346" s="215" t="s">
        <v>1116</v>
      </c>
      <c r="Q346" s="175" t="n">
        <f aca="false">Calib!D67</f>
        <v>1</v>
      </c>
      <c r="R346" s="185" t="n">
        <f aca="false">SRC_PERF_009</f>
        <v>9342.1</v>
      </c>
      <c r="S346" s="35" t="str">
        <f aca="false">IF(ISNUMBER($AF346),INDEX(IDX_SrcStat,$AF346),"—")</f>
        <v>Active</v>
      </c>
      <c r="T346" s="35" t="n">
        <f aca="false">IF(ISNUMBER($AF346),INDEX(IDX_SrcGrade,$AF346),"—")</f>
        <v>2</v>
      </c>
      <c r="U346" s="35" t="s">
        <v>3189</v>
      </c>
      <c r="V346" s="186" t="n">
        <f aca="false">IF(AND($F346="原始數據",$U346&lt;&gt;"連結 SRC"),1,0)</f>
        <v>0</v>
      </c>
      <c r="W346" s="186" t="n">
        <f aca="false">IF(AND($F346="Analogy",OR($H346="—",$H346="")),1,0)</f>
        <v>0</v>
      </c>
      <c r="X346" s="186" t="n">
        <f aca="false">IF(AND(OR($F346="Analogy",$F346="Assumed"),$G346&lt;&gt;"低",$G346&lt;&gt;"高",NOT(ISNUMBER($K346)),NOT(ISNUMBER($L346)),OR($M346="—",$M346="")),1,0)</f>
        <v>0</v>
      </c>
      <c r="Y346" s="186" t="n">
        <f aca="false">IF(AND(OR($F346="Analogy",$F346="Assumed",$F346="Derived（待改公式）",$F346="Derived（公式）"),OR($N346="—",$N346="",$N346=0)),1,0)</f>
        <v>0</v>
      </c>
      <c r="Z346" s="186" t="n">
        <f aca="false">IF(AND($F346="Decision",OR($J346="—",$J346="")),1,0)</f>
        <v>0</v>
      </c>
      <c r="AA346" s="183" t="n">
        <f aca="false">IF(OR($J346="—",$J346=""),0,IF(COUNTIF(Decisions!$A$5:$A$300,$J346)=0,1,0))</f>
        <v>0</v>
      </c>
      <c r="AB346" s="186" t="n">
        <f aca="false">IF(AND($F346="原始數據",$S346&lt;&gt;"Active"),1,0)</f>
        <v>0</v>
      </c>
      <c r="AC346" s="186" t="n">
        <f aca="false">IF(AND(ISNUMBER($K346),ISNUMBER($L346),ISNUMBER($Q346)),IF(OR($Q346&lt;MIN($K346,$L346),$Q346&gt;MAX($K346,$L346)),1,0),0)</f>
        <v>0</v>
      </c>
      <c r="AD346" s="186" t="n">
        <f aca="false">IF(AND(ISNUMBER($T346),$P346="高"),IF($T346=3,1,0),0)</f>
        <v>0</v>
      </c>
      <c r="AE346" s="186" t="n">
        <f aca="false">IF($S346="不存在",1,0)</f>
        <v>0</v>
      </c>
      <c r="AF346" s="35" t="n">
        <f aca="false">IF(OR($H346="—",$H346=""),"—",MATCH($H346,IDX_SrcID,0))</f>
        <v>297</v>
      </c>
      <c r="AG346" s="104" t="n">
        <f aca="false">IF(AND($P346="高",OR($AD346=1,$X346=1)),1,0)</f>
        <v>0</v>
      </c>
      <c r="AH346" s="104" t="n">
        <f aca="false">IF(AND($P346="高",$AG346=0,OR($F346&lt;&gt;"原始數據",$T346&lt;&gt;1)),1,0)</f>
        <v>1</v>
      </c>
      <c r="AI346" s="53" t="str">
        <f aca="false">IF(AND($P346="高",ISNUMBER($AF346)),INDEX(IDX_SrcDate,$AF346),"—")</f>
        <v>2026-10-05</v>
      </c>
      <c r="AJ346" s="104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6" t="s">
        <v>4003</v>
      </c>
      <c r="B347" s="215" t="s">
        <v>3183</v>
      </c>
      <c r="C347" s="36" t="s">
        <v>3923</v>
      </c>
      <c r="D347" s="36" t="s">
        <v>4004</v>
      </c>
      <c r="E347" s="6" t="s">
        <v>485</v>
      </c>
      <c r="F347" s="36" t="s">
        <v>84</v>
      </c>
      <c r="G347" s="215" t="s">
        <v>3185</v>
      </c>
      <c r="H347" s="36" t="s">
        <v>3933</v>
      </c>
      <c r="I347" s="19" t="s">
        <v>4000</v>
      </c>
      <c r="J347" s="36" t="s">
        <v>587</v>
      </c>
      <c r="K347" s="217" t="n">
        <v>0.5</v>
      </c>
      <c r="L347" s="217" t="n">
        <v>1.5</v>
      </c>
      <c r="M347" s="36" t="s">
        <v>4001</v>
      </c>
      <c r="N347" s="19" t="s">
        <v>4002</v>
      </c>
      <c r="O347" s="6" t="s">
        <v>587</v>
      </c>
      <c r="P347" s="215" t="s">
        <v>1116</v>
      </c>
      <c r="Q347" s="175" t="n">
        <f aca="false">Calib!E67</f>
        <v>1</v>
      </c>
      <c r="R347" s="185" t="n">
        <f aca="false">SRC_PERF_009</f>
        <v>9342.1</v>
      </c>
      <c r="S347" s="35" t="str">
        <f aca="false">IF(ISNUMBER($AF347),INDEX(IDX_SrcStat,$AF347),"—")</f>
        <v>Active</v>
      </c>
      <c r="T347" s="35" t="n">
        <f aca="false">IF(ISNUMBER($AF347),INDEX(IDX_SrcGrade,$AF347),"—")</f>
        <v>2</v>
      </c>
      <c r="U347" s="35" t="s">
        <v>3189</v>
      </c>
      <c r="V347" s="186" t="n">
        <f aca="false">IF(AND($F347="原始數據",$U347&lt;&gt;"連結 SRC"),1,0)</f>
        <v>0</v>
      </c>
      <c r="W347" s="186" t="n">
        <f aca="false">IF(AND($F347="Analogy",OR($H347="—",$H347="")),1,0)</f>
        <v>0</v>
      </c>
      <c r="X347" s="186" t="n">
        <f aca="false">IF(AND(OR($F347="Analogy",$F347="Assumed"),$G347&lt;&gt;"低",$G347&lt;&gt;"高",NOT(ISNUMBER($K347)),NOT(ISNUMBER($L347)),OR($M347="—",$M347="")),1,0)</f>
        <v>0</v>
      </c>
      <c r="Y347" s="186" t="n">
        <f aca="false">IF(AND(OR($F347="Analogy",$F347="Assumed",$F347="Derived（待改公式）",$F347="Derived（公式）"),OR($N347="—",$N347="",$N347=0)),1,0)</f>
        <v>0</v>
      </c>
      <c r="Z347" s="186" t="n">
        <f aca="false">IF(AND($F347="Decision",OR($J347="—",$J347="")),1,0)</f>
        <v>0</v>
      </c>
      <c r="AA347" s="183" t="n">
        <f aca="false">IF(OR($J347="—",$J347=""),0,IF(COUNTIF(Decisions!$A$5:$A$300,$J347)=0,1,0))</f>
        <v>0</v>
      </c>
      <c r="AB347" s="186" t="n">
        <f aca="false">IF(AND($F347="原始數據",$S347&lt;&gt;"Active"),1,0)</f>
        <v>0</v>
      </c>
      <c r="AC347" s="186" t="n">
        <f aca="false">IF(AND(ISNUMBER($K347),ISNUMBER($L347),ISNUMBER($Q347)),IF(OR($Q347&lt;MIN($K347,$L347),$Q347&gt;MAX($K347,$L347)),1,0),0)</f>
        <v>0</v>
      </c>
      <c r="AD347" s="186" t="n">
        <f aca="false">IF(AND(ISNUMBER($T347),$P347="高"),IF($T347=3,1,0),0)</f>
        <v>0</v>
      </c>
      <c r="AE347" s="186" t="n">
        <f aca="false">IF($S347="不存在",1,0)</f>
        <v>0</v>
      </c>
      <c r="AF347" s="35" t="n">
        <f aca="false">IF(OR($H347="—",$H347=""),"—",MATCH($H347,IDX_SrcID,0))</f>
        <v>297</v>
      </c>
      <c r="AG347" s="104" t="n">
        <f aca="false">IF(AND($P347="高",OR($AD347=1,$X347=1)),1,0)</f>
        <v>0</v>
      </c>
      <c r="AH347" s="104" t="n">
        <f aca="false">IF(AND($P347="高",$AG347=0,OR($F347&lt;&gt;"原始數據",$T347&lt;&gt;1)),1,0)</f>
        <v>1</v>
      </c>
      <c r="AI347" s="53" t="str">
        <f aca="false">IF(AND($P347="高",ISNUMBER($AF347)),INDEX(IDX_SrcDate,$AF347),"—")</f>
        <v>2026-10-05</v>
      </c>
      <c r="AJ347" s="104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6" t="s">
        <v>4005</v>
      </c>
      <c r="B348" s="215" t="s">
        <v>3183</v>
      </c>
      <c r="C348" s="36" t="s">
        <v>3923</v>
      </c>
      <c r="D348" s="36" t="s">
        <v>4006</v>
      </c>
      <c r="E348" s="6" t="s">
        <v>485</v>
      </c>
      <c r="F348" s="36" t="s">
        <v>84</v>
      </c>
      <c r="G348" s="215" t="s">
        <v>3185</v>
      </c>
      <c r="H348" s="36" t="s">
        <v>3933</v>
      </c>
      <c r="I348" s="19" t="s">
        <v>4000</v>
      </c>
      <c r="J348" s="36" t="s">
        <v>587</v>
      </c>
      <c r="K348" s="217" t="n">
        <v>0.5</v>
      </c>
      <c r="L348" s="217" t="n">
        <v>1.5</v>
      </c>
      <c r="M348" s="36" t="s">
        <v>4001</v>
      </c>
      <c r="N348" s="19" t="s">
        <v>4007</v>
      </c>
      <c r="O348" s="6" t="s">
        <v>587</v>
      </c>
      <c r="P348" s="215" t="s">
        <v>1116</v>
      </c>
      <c r="Q348" s="175" t="n">
        <f aca="false">Calib!F67</f>
        <v>1</v>
      </c>
      <c r="R348" s="185" t="n">
        <f aca="false">SRC_PERF_009</f>
        <v>9342.1</v>
      </c>
      <c r="S348" s="35" t="str">
        <f aca="false">IF(ISNUMBER($AF348),INDEX(IDX_SrcStat,$AF348),"—")</f>
        <v>Active</v>
      </c>
      <c r="T348" s="35" t="n">
        <f aca="false">IF(ISNUMBER($AF348),INDEX(IDX_SrcGrade,$AF348),"—")</f>
        <v>2</v>
      </c>
      <c r="U348" s="35" t="s">
        <v>3189</v>
      </c>
      <c r="V348" s="186" t="n">
        <f aca="false">IF(AND($F348="原始數據",$U348&lt;&gt;"連結 SRC"),1,0)</f>
        <v>0</v>
      </c>
      <c r="W348" s="186" t="n">
        <f aca="false">IF(AND($F348="Analogy",OR($H348="—",$H348="")),1,0)</f>
        <v>0</v>
      </c>
      <c r="X348" s="186" t="n">
        <f aca="false">IF(AND(OR($F348="Analogy",$F348="Assumed"),$G348&lt;&gt;"低",$G348&lt;&gt;"高",NOT(ISNUMBER($K348)),NOT(ISNUMBER($L348)),OR($M348="—",$M348="")),1,0)</f>
        <v>0</v>
      </c>
      <c r="Y348" s="186" t="n">
        <f aca="false">IF(AND(OR($F348="Analogy",$F348="Assumed",$F348="Derived（待改公式）",$F348="Derived（公式）"),OR($N348="—",$N348="",$N348=0)),1,0)</f>
        <v>0</v>
      </c>
      <c r="Z348" s="186" t="n">
        <f aca="false">IF(AND($F348="Decision",OR($J348="—",$J348="")),1,0)</f>
        <v>0</v>
      </c>
      <c r="AA348" s="183" t="n">
        <f aca="false">IF(OR($J348="—",$J348=""),0,IF(COUNTIF(Decisions!$A$5:$A$300,$J348)=0,1,0))</f>
        <v>0</v>
      </c>
      <c r="AB348" s="186" t="n">
        <f aca="false">IF(AND($F348="原始數據",$S348&lt;&gt;"Active"),1,0)</f>
        <v>0</v>
      </c>
      <c r="AC348" s="186" t="n">
        <f aca="false">IF(AND(ISNUMBER($K348),ISNUMBER($L348),ISNUMBER($Q348)),IF(OR($Q348&lt;MIN($K348,$L348),$Q348&gt;MAX($K348,$L348)),1,0),0)</f>
        <v>0</v>
      </c>
      <c r="AD348" s="186" t="n">
        <f aca="false">IF(AND(ISNUMBER($T348),$P348="高"),IF($T348=3,1,0),0)</f>
        <v>0</v>
      </c>
      <c r="AE348" s="186" t="n">
        <f aca="false">IF($S348="不存在",1,0)</f>
        <v>0</v>
      </c>
      <c r="AF348" s="35" t="n">
        <f aca="false">IF(OR($H348="—",$H348=""),"—",MATCH($H348,IDX_SrcID,0))</f>
        <v>297</v>
      </c>
      <c r="AG348" s="104" t="n">
        <f aca="false">IF(AND($P348="高",OR($AD348=1,$X348=1)),1,0)</f>
        <v>0</v>
      </c>
      <c r="AH348" s="104" t="n">
        <f aca="false">IF(AND($P348="高",$AG348=0,OR($F348&lt;&gt;"原始數據",$T348&lt;&gt;1)),1,0)</f>
        <v>1</v>
      </c>
      <c r="AI348" s="53" t="str">
        <f aca="false">IF(AND($P348="高",ISNUMBER($AF348)),INDEX(IDX_SrcDate,$AF348),"—")</f>
        <v>2026-10-05</v>
      </c>
      <c r="AJ348" s="104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6" t="s">
        <v>4008</v>
      </c>
      <c r="B349" s="215" t="s">
        <v>3183</v>
      </c>
      <c r="C349" s="36" t="s">
        <v>3923</v>
      </c>
      <c r="D349" s="36" t="s">
        <v>4009</v>
      </c>
      <c r="E349" s="6" t="s">
        <v>485</v>
      </c>
      <c r="F349" s="36" t="s">
        <v>84</v>
      </c>
      <c r="G349" s="215" t="s">
        <v>3185</v>
      </c>
      <c r="H349" s="36" t="s">
        <v>3933</v>
      </c>
      <c r="I349" s="19" t="s">
        <v>4000</v>
      </c>
      <c r="J349" s="36" t="s">
        <v>587</v>
      </c>
      <c r="K349" s="217" t="n">
        <v>0.5</v>
      </c>
      <c r="L349" s="217" t="n">
        <v>1.5</v>
      </c>
      <c r="M349" s="36" t="s">
        <v>4001</v>
      </c>
      <c r="N349" s="19" t="s">
        <v>4002</v>
      </c>
      <c r="O349" s="6" t="s">
        <v>587</v>
      </c>
      <c r="P349" s="215" t="s">
        <v>1116</v>
      </c>
      <c r="Q349" s="175" t="n">
        <f aca="false">Calib!G67</f>
        <v>1</v>
      </c>
      <c r="R349" s="185" t="n">
        <f aca="false">SRC_PERF_009</f>
        <v>9342.1</v>
      </c>
      <c r="S349" s="35" t="str">
        <f aca="false">IF(ISNUMBER($AF349),INDEX(IDX_SrcStat,$AF349),"—")</f>
        <v>Active</v>
      </c>
      <c r="T349" s="35" t="n">
        <f aca="false">IF(ISNUMBER($AF349),INDEX(IDX_SrcGrade,$AF349),"—")</f>
        <v>2</v>
      </c>
      <c r="U349" s="35" t="s">
        <v>3189</v>
      </c>
      <c r="V349" s="186" t="n">
        <f aca="false">IF(AND($F349="原始數據",$U349&lt;&gt;"連結 SRC"),1,0)</f>
        <v>0</v>
      </c>
      <c r="W349" s="186" t="n">
        <f aca="false">IF(AND($F349="Analogy",OR($H349="—",$H349="")),1,0)</f>
        <v>0</v>
      </c>
      <c r="X349" s="186" t="n">
        <f aca="false">IF(AND(OR($F349="Analogy",$F349="Assumed"),$G349&lt;&gt;"低",$G349&lt;&gt;"高",NOT(ISNUMBER($K349)),NOT(ISNUMBER($L349)),OR($M349="—",$M349="")),1,0)</f>
        <v>0</v>
      </c>
      <c r="Y349" s="186" t="n">
        <f aca="false">IF(AND(OR($F349="Analogy",$F349="Assumed",$F349="Derived（待改公式）",$F349="Derived（公式）"),OR($N349="—",$N349="",$N349=0)),1,0)</f>
        <v>0</v>
      </c>
      <c r="Z349" s="186" t="n">
        <f aca="false">IF(AND($F349="Decision",OR($J349="—",$J349="")),1,0)</f>
        <v>0</v>
      </c>
      <c r="AA349" s="183" t="n">
        <f aca="false">IF(OR($J349="—",$J349=""),0,IF(COUNTIF(Decisions!$A$5:$A$300,$J349)=0,1,0))</f>
        <v>0</v>
      </c>
      <c r="AB349" s="186" t="n">
        <f aca="false">IF(AND($F349="原始數據",$S349&lt;&gt;"Active"),1,0)</f>
        <v>0</v>
      </c>
      <c r="AC349" s="186" t="n">
        <f aca="false">IF(AND(ISNUMBER($K349),ISNUMBER($L349),ISNUMBER($Q349)),IF(OR($Q349&lt;MIN($K349,$L349),$Q349&gt;MAX($K349,$L349)),1,0),0)</f>
        <v>0</v>
      </c>
      <c r="AD349" s="186" t="n">
        <f aca="false">IF(AND(ISNUMBER($T349),$P349="高"),IF($T349=3,1,0),0)</f>
        <v>0</v>
      </c>
      <c r="AE349" s="186" t="n">
        <f aca="false">IF($S349="不存在",1,0)</f>
        <v>0</v>
      </c>
      <c r="AF349" s="35" t="n">
        <f aca="false">IF(OR($H349="—",$H349=""),"—",MATCH($H349,IDX_SrcID,0))</f>
        <v>297</v>
      </c>
      <c r="AG349" s="104" t="n">
        <f aca="false">IF(AND($P349="高",OR($AD349=1,$X349=1)),1,0)</f>
        <v>0</v>
      </c>
      <c r="AH349" s="104" t="n">
        <f aca="false">IF(AND($P349="高",$AG349=0,OR($F349&lt;&gt;"原始數據",$T349&lt;&gt;1)),1,0)</f>
        <v>1</v>
      </c>
      <c r="AI349" s="53" t="str">
        <f aca="false">IF(AND($P349="高",ISNUMBER($AF349)),INDEX(IDX_SrcDate,$AF349),"—")</f>
        <v>2026-10-05</v>
      </c>
      <c r="AJ349" s="104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6" t="s">
        <v>4010</v>
      </c>
      <c r="B350" s="215" t="s">
        <v>3183</v>
      </c>
      <c r="C350" s="36" t="s">
        <v>3923</v>
      </c>
      <c r="D350" s="36" t="s">
        <v>4011</v>
      </c>
      <c r="E350" s="19" t="s">
        <v>487</v>
      </c>
      <c r="F350" s="36" t="s">
        <v>80</v>
      </c>
      <c r="G350" s="215" t="s">
        <v>3185</v>
      </c>
      <c r="H350" s="36" t="s">
        <v>587</v>
      </c>
      <c r="I350" s="6" t="s">
        <v>587</v>
      </c>
      <c r="J350" s="36" t="s">
        <v>587</v>
      </c>
      <c r="K350" s="217" t="n">
        <v>1</v>
      </c>
      <c r="L350" s="217" t="n">
        <v>3</v>
      </c>
      <c r="M350" s="36" t="s">
        <v>4012</v>
      </c>
      <c r="N350" s="216" t="str">
        <f aca="false">Calib!$J$68</f>
        <v>Hopper EP 跨節點走 IB [Assumed 1.5，區間 1–3]</v>
      </c>
      <c r="O350" s="6" t="s">
        <v>587</v>
      </c>
      <c r="P350" s="215" t="s">
        <v>1116</v>
      </c>
      <c r="Q350" s="175" t="n">
        <f aca="false">Calib!C68</f>
        <v>1.5</v>
      </c>
      <c r="R350" s="36" t="s">
        <v>587</v>
      </c>
      <c r="S350" s="35" t="str">
        <f aca="false">IF(ISNUMBER($AF350),INDEX(IDX_SrcStat,$AF350),"—")</f>
        <v>—</v>
      </c>
      <c r="T350" s="35" t="str">
        <f aca="false">IF(ISNUMBER($AF350),INDEX(IDX_SrcGrade,$AF350),"—")</f>
        <v>—</v>
      </c>
      <c r="U350" s="35" t="s">
        <v>3189</v>
      </c>
      <c r="V350" s="186" t="n">
        <f aca="false">IF(AND($F350="原始數據",$U350&lt;&gt;"連結 SRC"),1,0)</f>
        <v>0</v>
      </c>
      <c r="W350" s="186" t="n">
        <f aca="false">IF(AND($F350="Analogy",OR($H350="—",$H350="")),1,0)</f>
        <v>0</v>
      </c>
      <c r="X350" s="186" t="n">
        <f aca="false">IF(AND(OR($F350="Analogy",$F350="Assumed"),$G350&lt;&gt;"低",$G350&lt;&gt;"高",NOT(ISNUMBER($K350)),NOT(ISNUMBER($L350)),OR($M350="—",$M350="")),1,0)</f>
        <v>0</v>
      </c>
      <c r="Y350" s="186" t="n">
        <f aca="false">IF(AND(OR($F350="Analogy",$F350="Assumed",$F350="Derived（待改公式）",$F350="Derived（公式）"),OR($N350="—",$N350="",$N350=0)),1,0)</f>
        <v>0</v>
      </c>
      <c r="Z350" s="186" t="n">
        <f aca="false">IF(AND($F350="Decision",OR($J350="—",$J350="")),1,0)</f>
        <v>0</v>
      </c>
      <c r="AA350" s="183" t="n">
        <f aca="false">IF(OR($J350="—",$J350=""),0,IF(COUNTIF(Decisions!$A$5:$A$300,$J350)=0,1,0))</f>
        <v>0</v>
      </c>
      <c r="AB350" s="186" t="n">
        <f aca="false">IF(AND($F350="原始數據",$S350&lt;&gt;"Active"),1,0)</f>
        <v>0</v>
      </c>
      <c r="AC350" s="186" t="n">
        <f aca="false">IF(AND(ISNUMBER($K350),ISNUMBER($L350),ISNUMBER($Q350)),IF(OR($Q350&lt;MIN($K350,$L350),$Q350&gt;MAX($K350,$L350)),1,0),0)</f>
        <v>0</v>
      </c>
      <c r="AD350" s="186" t="n">
        <f aca="false">IF(AND(ISNUMBER($T350),$P350="高"),IF($T350=3,1,0),0)</f>
        <v>0</v>
      </c>
      <c r="AE350" s="186" t="n">
        <f aca="false">IF($S350="不存在",1,0)</f>
        <v>0</v>
      </c>
      <c r="AF350" s="35" t="str">
        <f aca="false">IF(OR($H350="—",$H350=""),"—",MATCH($H350,IDX_SrcID,0))</f>
        <v>—</v>
      </c>
      <c r="AG350" s="104" t="n">
        <f aca="false">IF(AND($P350="高",OR($AD350=1,$X350=1)),1,0)</f>
        <v>0</v>
      </c>
      <c r="AH350" s="104" t="n">
        <f aca="false">IF(AND($P350="高",$AG350=0,OR($F350&lt;&gt;"原始數據",$T350&lt;&gt;1)),1,0)</f>
        <v>1</v>
      </c>
      <c r="AI350" s="53" t="str">
        <f aca="false">IF(AND($P350="高",ISNUMBER($AF350)),INDEX(IDX_SrcDate,$AF350),"—")</f>
        <v>—</v>
      </c>
      <c r="AJ350" s="104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36" t="s">
        <v>4013</v>
      </c>
      <c r="B351" s="215" t="s">
        <v>3183</v>
      </c>
      <c r="C351" s="36" t="s">
        <v>3923</v>
      </c>
      <c r="D351" s="36" t="s">
        <v>4014</v>
      </c>
      <c r="E351" s="19" t="s">
        <v>487</v>
      </c>
      <c r="F351" s="36" t="s">
        <v>80</v>
      </c>
      <c r="G351" s="215" t="s">
        <v>3185</v>
      </c>
      <c r="H351" s="36" t="s">
        <v>587</v>
      </c>
      <c r="I351" s="6" t="s">
        <v>587</v>
      </c>
      <c r="J351" s="36" t="s">
        <v>587</v>
      </c>
      <c r="K351" s="217" t="n">
        <v>1</v>
      </c>
      <c r="L351" s="217" t="n">
        <v>1.5</v>
      </c>
      <c r="M351" s="36" t="s">
        <v>4015</v>
      </c>
      <c r="N351" s="19" t="s">
        <v>4016</v>
      </c>
      <c r="O351" s="6" t="s">
        <v>587</v>
      </c>
      <c r="P351" s="215" t="s">
        <v>1116</v>
      </c>
      <c r="Q351" s="175" t="n">
        <f aca="false">Calib!D68</f>
        <v>1</v>
      </c>
      <c r="R351" s="36" t="s">
        <v>587</v>
      </c>
      <c r="S351" s="35" t="str">
        <f aca="false">IF(ISNUMBER($AF351),INDEX(IDX_SrcStat,$AF351),"—")</f>
        <v>—</v>
      </c>
      <c r="T351" s="35" t="str">
        <f aca="false">IF(ISNUMBER($AF351),INDEX(IDX_SrcGrade,$AF351),"—")</f>
        <v>—</v>
      </c>
      <c r="U351" s="35" t="s">
        <v>3189</v>
      </c>
      <c r="V351" s="186" t="n">
        <f aca="false">IF(AND($F351="原始數據",$U351&lt;&gt;"連結 SRC"),1,0)</f>
        <v>0</v>
      </c>
      <c r="W351" s="186" t="n">
        <f aca="false">IF(AND($F351="Analogy",OR($H351="—",$H351="")),1,0)</f>
        <v>0</v>
      </c>
      <c r="X351" s="186" t="n">
        <f aca="false">IF(AND(OR($F351="Analogy",$F351="Assumed"),$G351&lt;&gt;"低",$G351&lt;&gt;"高",NOT(ISNUMBER($K351)),NOT(ISNUMBER($L351)),OR($M351="—",$M351="")),1,0)</f>
        <v>0</v>
      </c>
      <c r="Y351" s="186" t="n">
        <f aca="false">IF(AND(OR($F351="Analogy",$F351="Assumed",$F351="Derived（待改公式）",$F351="Derived（公式）"),OR($N351="—",$N351="",$N351=0)),1,0)</f>
        <v>0</v>
      </c>
      <c r="Z351" s="186" t="n">
        <f aca="false">IF(AND($F351="Decision",OR($J351="—",$J351="")),1,0)</f>
        <v>0</v>
      </c>
      <c r="AA351" s="183" t="n">
        <f aca="false">IF(OR($J351="—",$J351=""),0,IF(COUNTIF(Decisions!$A$5:$A$300,$J351)=0,1,0))</f>
        <v>0</v>
      </c>
      <c r="AB351" s="186" t="n">
        <f aca="false">IF(AND($F351="原始數據",$S351&lt;&gt;"Active"),1,0)</f>
        <v>0</v>
      </c>
      <c r="AC351" s="186" t="n">
        <f aca="false">IF(AND(ISNUMBER($K351),ISNUMBER($L351),ISNUMBER($Q351)),IF(OR($Q351&lt;MIN($K351,$L351),$Q351&gt;MAX($K351,$L351)),1,0),0)</f>
        <v>0</v>
      </c>
      <c r="AD351" s="186" t="n">
        <f aca="false">IF(AND(ISNUMBER($T351),$P351="高"),IF($T351=3,1,0),0)</f>
        <v>0</v>
      </c>
      <c r="AE351" s="186" t="n">
        <f aca="false">IF($S351="不存在",1,0)</f>
        <v>0</v>
      </c>
      <c r="AF351" s="35" t="str">
        <f aca="false">IF(OR($H351="—",$H351=""),"—",MATCH($H351,IDX_SrcID,0))</f>
        <v>—</v>
      </c>
      <c r="AG351" s="104" t="n">
        <f aca="false">IF(AND($P351="高",OR($AD351=1,$X351=1)),1,0)</f>
        <v>0</v>
      </c>
      <c r="AH351" s="104" t="n">
        <f aca="false">IF(AND($P351="高",$AG351=0,OR($F351&lt;&gt;"原始數據",$T351&lt;&gt;1)),1,0)</f>
        <v>1</v>
      </c>
      <c r="AI351" s="53" t="str">
        <f aca="false">IF(AND($P351="高",ISNUMBER($AF351)),INDEX(IDX_SrcDate,$AF351),"—")</f>
        <v>—</v>
      </c>
      <c r="AJ351" s="104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6" t="s">
        <v>4017</v>
      </c>
      <c r="B352" s="215" t="s">
        <v>3183</v>
      </c>
      <c r="C352" s="36" t="s">
        <v>3923</v>
      </c>
      <c r="D352" s="36" t="s">
        <v>4018</v>
      </c>
      <c r="E352" s="19" t="s">
        <v>487</v>
      </c>
      <c r="F352" s="36" t="s">
        <v>80</v>
      </c>
      <c r="G352" s="215" t="s">
        <v>3185</v>
      </c>
      <c r="H352" s="36" t="s">
        <v>587</v>
      </c>
      <c r="I352" s="6" t="s">
        <v>587</v>
      </c>
      <c r="J352" s="36" t="s">
        <v>587</v>
      </c>
      <c r="K352" s="217" t="n">
        <v>1</v>
      </c>
      <c r="L352" s="217" t="n">
        <v>1.5</v>
      </c>
      <c r="M352" s="36" t="s">
        <v>4015</v>
      </c>
      <c r="N352" s="19" t="s">
        <v>4016</v>
      </c>
      <c r="O352" s="6" t="s">
        <v>587</v>
      </c>
      <c r="P352" s="215" t="s">
        <v>1116</v>
      </c>
      <c r="Q352" s="175" t="n">
        <f aca="false">Calib!E68</f>
        <v>1</v>
      </c>
      <c r="R352" s="36" t="s">
        <v>587</v>
      </c>
      <c r="S352" s="35" t="str">
        <f aca="false">IF(ISNUMBER($AF352),INDEX(IDX_SrcStat,$AF352),"—")</f>
        <v>—</v>
      </c>
      <c r="T352" s="35" t="str">
        <f aca="false">IF(ISNUMBER($AF352),INDEX(IDX_SrcGrade,$AF352),"—")</f>
        <v>—</v>
      </c>
      <c r="U352" s="35" t="s">
        <v>3189</v>
      </c>
      <c r="V352" s="186" t="n">
        <f aca="false">IF(AND($F352="原始數據",$U352&lt;&gt;"連結 SRC"),1,0)</f>
        <v>0</v>
      </c>
      <c r="W352" s="186" t="n">
        <f aca="false">IF(AND($F352="Analogy",OR($H352="—",$H352="")),1,0)</f>
        <v>0</v>
      </c>
      <c r="X352" s="186" t="n">
        <f aca="false">IF(AND(OR($F352="Analogy",$F352="Assumed"),$G352&lt;&gt;"低",$G352&lt;&gt;"高",NOT(ISNUMBER($K352)),NOT(ISNUMBER($L352)),OR($M352="—",$M352="")),1,0)</f>
        <v>0</v>
      </c>
      <c r="Y352" s="186" t="n">
        <f aca="false">IF(AND(OR($F352="Analogy",$F352="Assumed",$F352="Derived（待改公式）",$F352="Derived（公式）"),OR($N352="—",$N352="",$N352=0)),1,0)</f>
        <v>0</v>
      </c>
      <c r="Z352" s="186" t="n">
        <f aca="false">IF(AND($F352="Decision",OR($J352="—",$J352="")),1,0)</f>
        <v>0</v>
      </c>
      <c r="AA352" s="183" t="n">
        <f aca="false">IF(OR($J352="—",$J352=""),0,IF(COUNTIF(Decisions!$A$5:$A$300,$J352)=0,1,0))</f>
        <v>0</v>
      </c>
      <c r="AB352" s="186" t="n">
        <f aca="false">IF(AND($F352="原始數據",$S352&lt;&gt;"Active"),1,0)</f>
        <v>0</v>
      </c>
      <c r="AC352" s="186" t="n">
        <f aca="false">IF(AND(ISNUMBER($K352),ISNUMBER($L352),ISNUMBER($Q352)),IF(OR($Q352&lt;MIN($K352,$L352),$Q352&gt;MAX($K352,$L352)),1,0),0)</f>
        <v>0</v>
      </c>
      <c r="AD352" s="186" t="n">
        <f aca="false">IF(AND(ISNUMBER($T352),$P352="高"),IF($T352=3,1,0),0)</f>
        <v>0</v>
      </c>
      <c r="AE352" s="186" t="n">
        <f aca="false">IF($S352="不存在",1,0)</f>
        <v>0</v>
      </c>
      <c r="AF352" s="35" t="str">
        <f aca="false">IF(OR($H352="—",$H352=""),"—",MATCH($H352,IDX_SrcID,0))</f>
        <v>—</v>
      </c>
      <c r="AG352" s="104" t="n">
        <f aca="false">IF(AND($P352="高",OR($AD352=1,$X352=1)),1,0)</f>
        <v>0</v>
      </c>
      <c r="AH352" s="104" t="n">
        <f aca="false">IF(AND($P352="高",$AG352=0,OR($F352&lt;&gt;"原始數據",$T352&lt;&gt;1)),1,0)</f>
        <v>1</v>
      </c>
      <c r="AI352" s="53" t="str">
        <f aca="false">IF(AND($P352="高",ISNUMBER($AF352)),INDEX(IDX_SrcDate,$AF352),"—")</f>
        <v>—</v>
      </c>
      <c r="AJ352" s="104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6" t="s">
        <v>4019</v>
      </c>
      <c r="B353" s="215" t="s">
        <v>3183</v>
      </c>
      <c r="C353" s="36" t="s">
        <v>3923</v>
      </c>
      <c r="D353" s="36" t="s">
        <v>4020</v>
      </c>
      <c r="E353" s="19" t="s">
        <v>487</v>
      </c>
      <c r="F353" s="36" t="s">
        <v>80</v>
      </c>
      <c r="G353" s="215" t="s">
        <v>3185</v>
      </c>
      <c r="H353" s="36" t="s">
        <v>587</v>
      </c>
      <c r="I353" s="6" t="s">
        <v>587</v>
      </c>
      <c r="J353" s="36" t="s">
        <v>587</v>
      </c>
      <c r="K353" s="217" t="n">
        <v>1</v>
      </c>
      <c r="L353" s="217" t="n">
        <v>1.5</v>
      </c>
      <c r="M353" s="36" t="s">
        <v>4015</v>
      </c>
      <c r="N353" s="19" t="s">
        <v>4016</v>
      </c>
      <c r="O353" s="6" t="s">
        <v>587</v>
      </c>
      <c r="P353" s="215" t="s">
        <v>1116</v>
      </c>
      <c r="Q353" s="175" t="n">
        <f aca="false">Calib!F68</f>
        <v>1</v>
      </c>
      <c r="R353" s="36" t="s">
        <v>587</v>
      </c>
      <c r="S353" s="35" t="str">
        <f aca="false">IF(ISNUMBER($AF353),INDEX(IDX_SrcStat,$AF353),"—")</f>
        <v>—</v>
      </c>
      <c r="T353" s="35" t="str">
        <f aca="false">IF(ISNUMBER($AF353),INDEX(IDX_SrcGrade,$AF353),"—")</f>
        <v>—</v>
      </c>
      <c r="U353" s="35" t="s">
        <v>3189</v>
      </c>
      <c r="V353" s="186" t="n">
        <f aca="false">IF(AND($F353="原始數據",$U353&lt;&gt;"連結 SRC"),1,0)</f>
        <v>0</v>
      </c>
      <c r="W353" s="186" t="n">
        <f aca="false">IF(AND($F353="Analogy",OR($H353="—",$H353="")),1,0)</f>
        <v>0</v>
      </c>
      <c r="X353" s="186" t="n">
        <f aca="false">IF(AND(OR($F353="Analogy",$F353="Assumed"),$G353&lt;&gt;"低",$G353&lt;&gt;"高",NOT(ISNUMBER($K353)),NOT(ISNUMBER($L353)),OR($M353="—",$M353="")),1,0)</f>
        <v>0</v>
      </c>
      <c r="Y353" s="186" t="n">
        <f aca="false">IF(AND(OR($F353="Analogy",$F353="Assumed",$F353="Derived（待改公式）",$F353="Derived（公式）"),OR($N353="—",$N353="",$N353=0)),1,0)</f>
        <v>0</v>
      </c>
      <c r="Z353" s="186" t="n">
        <f aca="false">IF(AND($F353="Decision",OR($J353="—",$J353="")),1,0)</f>
        <v>0</v>
      </c>
      <c r="AA353" s="183" t="n">
        <f aca="false">IF(OR($J353="—",$J353=""),0,IF(COUNTIF(Decisions!$A$5:$A$300,$J353)=0,1,0))</f>
        <v>0</v>
      </c>
      <c r="AB353" s="186" t="n">
        <f aca="false">IF(AND($F353="原始數據",$S353&lt;&gt;"Active"),1,0)</f>
        <v>0</v>
      </c>
      <c r="AC353" s="186" t="n">
        <f aca="false">IF(AND(ISNUMBER($K353),ISNUMBER($L353),ISNUMBER($Q353)),IF(OR($Q353&lt;MIN($K353,$L353),$Q353&gt;MAX($K353,$L353)),1,0),0)</f>
        <v>0</v>
      </c>
      <c r="AD353" s="186" t="n">
        <f aca="false">IF(AND(ISNUMBER($T353),$P353="高"),IF($T353=3,1,0),0)</f>
        <v>0</v>
      </c>
      <c r="AE353" s="186" t="n">
        <f aca="false">IF($S353="不存在",1,0)</f>
        <v>0</v>
      </c>
      <c r="AF353" s="35" t="str">
        <f aca="false">IF(OR($H353="—",$H353=""),"—",MATCH($H353,IDX_SrcID,0))</f>
        <v>—</v>
      </c>
      <c r="AG353" s="104" t="n">
        <f aca="false">IF(AND($P353="高",OR($AD353=1,$X353=1)),1,0)</f>
        <v>0</v>
      </c>
      <c r="AH353" s="104" t="n">
        <f aca="false">IF(AND($P353="高",$AG353=0,OR($F353&lt;&gt;"原始數據",$T353&lt;&gt;1)),1,0)</f>
        <v>1</v>
      </c>
      <c r="AI353" s="53" t="str">
        <f aca="false">IF(AND($P353="高",ISNUMBER($AF353)),INDEX(IDX_SrcDate,$AF353),"—")</f>
        <v>—</v>
      </c>
      <c r="AJ353" s="104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6" t="s">
        <v>4021</v>
      </c>
      <c r="B354" s="215" t="s">
        <v>3183</v>
      </c>
      <c r="C354" s="36" t="s">
        <v>3923</v>
      </c>
      <c r="D354" s="36" t="s">
        <v>4022</v>
      </c>
      <c r="E354" s="19" t="s">
        <v>487</v>
      </c>
      <c r="F354" s="36" t="s">
        <v>80</v>
      </c>
      <c r="G354" s="215" t="s">
        <v>3185</v>
      </c>
      <c r="H354" s="36" t="s">
        <v>587</v>
      </c>
      <c r="I354" s="6" t="s">
        <v>587</v>
      </c>
      <c r="J354" s="36" t="s">
        <v>587</v>
      </c>
      <c r="K354" s="217" t="n">
        <v>1</v>
      </c>
      <c r="L354" s="217" t="n">
        <v>1.5</v>
      </c>
      <c r="M354" s="36" t="s">
        <v>4015</v>
      </c>
      <c r="N354" s="19" t="s">
        <v>4016</v>
      </c>
      <c r="O354" s="6" t="s">
        <v>587</v>
      </c>
      <c r="P354" s="215" t="s">
        <v>1116</v>
      </c>
      <c r="Q354" s="175" t="n">
        <f aca="false">Calib!G68</f>
        <v>1</v>
      </c>
      <c r="R354" s="36" t="s">
        <v>587</v>
      </c>
      <c r="S354" s="35" t="str">
        <f aca="false">IF(ISNUMBER($AF354),INDEX(IDX_SrcStat,$AF354),"—")</f>
        <v>—</v>
      </c>
      <c r="T354" s="35" t="str">
        <f aca="false">IF(ISNUMBER($AF354),INDEX(IDX_SrcGrade,$AF354),"—")</f>
        <v>—</v>
      </c>
      <c r="U354" s="35" t="s">
        <v>3189</v>
      </c>
      <c r="V354" s="186" t="n">
        <f aca="false">IF(AND($F354="原始數據",$U354&lt;&gt;"連結 SRC"),1,0)</f>
        <v>0</v>
      </c>
      <c r="W354" s="186" t="n">
        <f aca="false">IF(AND($F354="Analogy",OR($H354="—",$H354="")),1,0)</f>
        <v>0</v>
      </c>
      <c r="X354" s="186" t="n">
        <f aca="false">IF(AND(OR($F354="Analogy",$F354="Assumed"),$G354&lt;&gt;"低",$G354&lt;&gt;"高",NOT(ISNUMBER($K354)),NOT(ISNUMBER($L354)),OR($M354="—",$M354="")),1,0)</f>
        <v>0</v>
      </c>
      <c r="Y354" s="186" t="n">
        <f aca="false">IF(AND(OR($F354="Analogy",$F354="Assumed",$F354="Derived（待改公式）",$F354="Derived（公式）"),OR($N354="—",$N354="",$N354=0)),1,0)</f>
        <v>0</v>
      </c>
      <c r="Z354" s="186" t="n">
        <f aca="false">IF(AND($F354="Decision",OR($J354="—",$J354="")),1,0)</f>
        <v>0</v>
      </c>
      <c r="AA354" s="183" t="n">
        <f aca="false">IF(OR($J354="—",$J354=""),0,IF(COUNTIF(Decisions!$A$5:$A$300,$J354)=0,1,0))</f>
        <v>0</v>
      </c>
      <c r="AB354" s="186" t="n">
        <f aca="false">IF(AND($F354="原始數據",$S354&lt;&gt;"Active"),1,0)</f>
        <v>0</v>
      </c>
      <c r="AC354" s="186" t="n">
        <f aca="false">IF(AND(ISNUMBER($K354),ISNUMBER($L354),ISNUMBER($Q354)),IF(OR($Q354&lt;MIN($K354,$L354),$Q354&gt;MAX($K354,$L354)),1,0),0)</f>
        <v>0</v>
      </c>
      <c r="AD354" s="186" t="n">
        <f aca="false">IF(AND(ISNUMBER($T354),$P354="高"),IF($T354=3,1,0),0)</f>
        <v>0</v>
      </c>
      <c r="AE354" s="186" t="n">
        <f aca="false">IF($S354="不存在",1,0)</f>
        <v>0</v>
      </c>
      <c r="AF354" s="35" t="str">
        <f aca="false">IF(OR($H354="—",$H354=""),"—",MATCH($H354,IDX_SrcID,0))</f>
        <v>—</v>
      </c>
      <c r="AG354" s="104" t="n">
        <f aca="false">IF(AND($P354="高",OR($AD354=1,$X354=1)),1,0)</f>
        <v>0</v>
      </c>
      <c r="AH354" s="104" t="n">
        <f aca="false">IF(AND($P354="高",$AG354=0,OR($F354&lt;&gt;"原始數據",$T354&lt;&gt;1)),1,0)</f>
        <v>1</v>
      </c>
      <c r="AI354" s="53" t="str">
        <f aca="false">IF(AND($P354="高",ISNUMBER($AF354)),INDEX(IDX_SrcDate,$AF354),"—")</f>
        <v>—</v>
      </c>
      <c r="AJ354" s="104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6" t="s">
        <v>4023</v>
      </c>
      <c r="B355" s="215" t="s">
        <v>3183</v>
      </c>
      <c r="C355" s="36" t="s">
        <v>3923</v>
      </c>
      <c r="D355" s="36" t="s">
        <v>4024</v>
      </c>
      <c r="E355" s="6" t="s">
        <v>489</v>
      </c>
      <c r="F355" s="36" t="s">
        <v>3471</v>
      </c>
      <c r="G355" s="215" t="s">
        <v>3185</v>
      </c>
      <c r="H355" s="36" t="s">
        <v>587</v>
      </c>
      <c r="I355" s="19" t="s">
        <v>4025</v>
      </c>
      <c r="J355" s="36" t="s">
        <v>587</v>
      </c>
      <c r="K355" s="217"/>
      <c r="L355" s="217"/>
      <c r="M355" s="36" t="s">
        <v>587</v>
      </c>
      <c r="N355" s="221" t="s">
        <v>4026</v>
      </c>
      <c r="O355" s="6" t="s">
        <v>4027</v>
      </c>
      <c r="P355" s="215" t="s">
        <v>3244</v>
      </c>
      <c r="Q355" s="175" t="n">
        <f aca="false">Calib!C69</f>
        <v>0.499747347145023</v>
      </c>
      <c r="R355" s="36" t="s">
        <v>587</v>
      </c>
      <c r="S355" s="35" t="str">
        <f aca="false">IF(ISNUMBER($AF355),INDEX(IDX_SrcStat,$AF355),"—")</f>
        <v>—</v>
      </c>
      <c r="T355" s="35" t="str">
        <f aca="false">IF(ISNUMBER($AF355),INDEX(IDX_SrcGrade,$AF355),"—")</f>
        <v>—</v>
      </c>
      <c r="U355" s="35" t="s">
        <v>3222</v>
      </c>
      <c r="V355" s="186" t="n">
        <f aca="false">IF(AND($F355="原始數據",$U355&lt;&gt;"連結 SRC"),1,0)</f>
        <v>0</v>
      </c>
      <c r="W355" s="186" t="n">
        <f aca="false">IF(AND($F355="Analogy",OR($H355="—",$H355="")),1,0)</f>
        <v>0</v>
      </c>
      <c r="X355" s="186" t="n">
        <f aca="false">IF(AND(OR($F355="Analogy",$F355="Assumed"),$G355&lt;&gt;"低",$G355&lt;&gt;"高",NOT(ISNUMBER($K355)),NOT(ISNUMBER($L355)),OR($M355="—",$M355="")),1,0)</f>
        <v>0</v>
      </c>
      <c r="Y355" s="186" t="n">
        <f aca="false">IF(AND(OR($F355="Analogy",$F355="Assumed",$F355="Derived（待改公式）",$F355="Derived（公式）"),OR($N355="—",$N355="",$N355=0)),1,0)</f>
        <v>0</v>
      </c>
      <c r="Z355" s="186" t="n">
        <f aca="false">IF(AND($F355="Decision",OR($J355="—",$J355="")),1,0)</f>
        <v>0</v>
      </c>
      <c r="AA355" s="183" t="n">
        <f aca="false">IF(OR($J355="—",$J355=""),0,IF(COUNTIF(Decisions!$A$5:$A$300,$J355)=0,1,0))</f>
        <v>0</v>
      </c>
      <c r="AB355" s="186" t="n">
        <f aca="false">IF(AND($F355="原始數據",$S355&lt;&gt;"Active"),1,0)</f>
        <v>0</v>
      </c>
      <c r="AC355" s="186" t="n">
        <f aca="false">IF(AND(ISNUMBER($K355),ISNUMBER($L355),ISNUMBER($Q355)),IF(OR($Q355&lt;MIN($K355,$L355),$Q355&gt;MAX($K355,$L355)),1,0),0)</f>
        <v>0</v>
      </c>
      <c r="AD355" s="186" t="n">
        <f aca="false">IF(AND(ISNUMBER($T355),$P355="高"),IF($T355=3,1,0),0)</f>
        <v>0</v>
      </c>
      <c r="AE355" s="186" t="n">
        <f aca="false">IF($S355="不存在",1,0)</f>
        <v>0</v>
      </c>
      <c r="AF355" s="35" t="str">
        <f aca="false">IF(OR($H355="—",$H355=""),"—",MATCH($H355,IDX_SrcID,0))</f>
        <v>—</v>
      </c>
      <c r="AG355" s="104" t="n">
        <f aca="false">IF(AND($P355="高",OR($AD355=1,$X355=1)),1,0)</f>
        <v>0</v>
      </c>
      <c r="AH355" s="104" t="n">
        <f aca="false">IF(AND($P355="高",$AG355=0,OR($F355&lt;&gt;"原始數據",$T355&lt;&gt;1)),1,0)</f>
        <v>0</v>
      </c>
      <c r="AI355" s="53" t="str">
        <f aca="false">IF(AND($P355="高",ISNUMBER($AF355)),INDEX(IDX_SrcDate,$AF355),"—")</f>
        <v>—</v>
      </c>
      <c r="AJ355" s="104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6" t="s">
        <v>4028</v>
      </c>
      <c r="B356" s="215" t="s">
        <v>3183</v>
      </c>
      <c r="C356" s="36" t="s">
        <v>3923</v>
      </c>
      <c r="D356" s="36" t="s">
        <v>4029</v>
      </c>
      <c r="E356" s="6" t="s">
        <v>489</v>
      </c>
      <c r="F356" s="36" t="s">
        <v>80</v>
      </c>
      <c r="G356" s="215" t="s">
        <v>3185</v>
      </c>
      <c r="H356" s="36" t="s">
        <v>587</v>
      </c>
      <c r="I356" s="6" t="s">
        <v>587</v>
      </c>
      <c r="J356" s="36" t="s">
        <v>587</v>
      </c>
      <c r="K356" s="217" t="n">
        <v>0.5</v>
      </c>
      <c r="L356" s="217" t="n">
        <v>1.5</v>
      </c>
      <c r="M356" s="36" t="s">
        <v>4030</v>
      </c>
      <c r="N356" s="6" t="s">
        <v>4031</v>
      </c>
      <c r="O356" s="6" t="s">
        <v>587</v>
      </c>
      <c r="P356" s="215" t="s">
        <v>3244</v>
      </c>
      <c r="Q356" s="175" t="n">
        <f aca="false">Calib!D69</f>
        <v>1</v>
      </c>
      <c r="R356" s="36" t="s">
        <v>587</v>
      </c>
      <c r="S356" s="35" t="str">
        <f aca="false">IF(ISNUMBER($AF356),INDEX(IDX_SrcStat,$AF356),"—")</f>
        <v>—</v>
      </c>
      <c r="T356" s="35" t="str">
        <f aca="false">IF(ISNUMBER($AF356),INDEX(IDX_SrcGrade,$AF356),"—")</f>
        <v>—</v>
      </c>
      <c r="U356" s="35" t="s">
        <v>3189</v>
      </c>
      <c r="V356" s="186" t="n">
        <f aca="false">IF(AND($F356="原始數據",$U356&lt;&gt;"連結 SRC"),1,0)</f>
        <v>0</v>
      </c>
      <c r="W356" s="186" t="n">
        <f aca="false">IF(AND($F356="Analogy",OR($H356="—",$H356="")),1,0)</f>
        <v>0</v>
      </c>
      <c r="X356" s="186" t="n">
        <f aca="false">IF(AND(OR($F356="Analogy",$F356="Assumed"),$G356&lt;&gt;"低",$G356&lt;&gt;"高",NOT(ISNUMBER($K356)),NOT(ISNUMBER($L356)),OR($M356="—",$M356="")),1,0)</f>
        <v>0</v>
      </c>
      <c r="Y356" s="186" t="n">
        <f aca="false">IF(AND(OR($F356="Analogy",$F356="Assumed",$F356="Derived（待改公式）",$F356="Derived（公式）"),OR($N356="—",$N356="",$N356=0)),1,0)</f>
        <v>0</v>
      </c>
      <c r="Z356" s="186" t="n">
        <f aca="false">IF(AND($F356="Decision",OR($J356="—",$J356="")),1,0)</f>
        <v>0</v>
      </c>
      <c r="AA356" s="183" t="n">
        <f aca="false">IF(OR($J356="—",$J356=""),0,IF(COUNTIF(Decisions!$A$5:$A$300,$J356)=0,1,0))</f>
        <v>0</v>
      </c>
      <c r="AB356" s="186" t="n">
        <f aca="false">IF(AND($F356="原始數據",$S356&lt;&gt;"Active"),1,0)</f>
        <v>0</v>
      </c>
      <c r="AC356" s="186" t="n">
        <f aca="false">IF(AND(ISNUMBER($K356),ISNUMBER($L356),ISNUMBER($Q356)),IF(OR($Q356&lt;MIN($K356,$L356),$Q356&gt;MAX($K356,$L356)),1,0),0)</f>
        <v>0</v>
      </c>
      <c r="AD356" s="186" t="n">
        <f aca="false">IF(AND(ISNUMBER($T356),$P356="高"),IF($T356=3,1,0),0)</f>
        <v>0</v>
      </c>
      <c r="AE356" s="186" t="n">
        <f aca="false">IF($S356="不存在",1,0)</f>
        <v>0</v>
      </c>
      <c r="AF356" s="35" t="str">
        <f aca="false">IF(OR($H356="—",$H356=""),"—",MATCH($H356,IDX_SrcID,0))</f>
        <v>—</v>
      </c>
      <c r="AG356" s="104" t="n">
        <f aca="false">IF(AND($P356="高",OR($AD356=1,$X356=1)),1,0)</f>
        <v>0</v>
      </c>
      <c r="AH356" s="104" t="n">
        <f aca="false">IF(AND($P356="高",$AG356=0,OR($F356&lt;&gt;"原始數據",$T356&lt;&gt;1)),1,0)</f>
        <v>0</v>
      </c>
      <c r="AI356" s="53" t="str">
        <f aca="false">IF(AND($P356="高",ISNUMBER($AF356)),INDEX(IDX_SrcDate,$AF356),"—")</f>
        <v>—</v>
      </c>
      <c r="AJ356" s="104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6" t="s">
        <v>4032</v>
      </c>
      <c r="B357" s="215" t="s">
        <v>3183</v>
      </c>
      <c r="C357" s="36" t="s">
        <v>3923</v>
      </c>
      <c r="D357" s="36" t="s">
        <v>4033</v>
      </c>
      <c r="E357" s="6" t="s">
        <v>489</v>
      </c>
      <c r="F357" s="36" t="s">
        <v>80</v>
      </c>
      <c r="G357" s="215" t="s">
        <v>3185</v>
      </c>
      <c r="H357" s="36" t="s">
        <v>587</v>
      </c>
      <c r="I357" s="6" t="s">
        <v>587</v>
      </c>
      <c r="J357" s="36" t="s">
        <v>587</v>
      </c>
      <c r="K357" s="217" t="n">
        <v>0.5</v>
      </c>
      <c r="L357" s="217" t="n">
        <v>1.5</v>
      </c>
      <c r="M357" s="36" t="s">
        <v>4030</v>
      </c>
      <c r="N357" s="6" t="s">
        <v>4031</v>
      </c>
      <c r="O357" s="6" t="s">
        <v>587</v>
      </c>
      <c r="P357" s="215" t="s">
        <v>3244</v>
      </c>
      <c r="Q357" s="175" t="n">
        <f aca="false">Calib!E69</f>
        <v>1</v>
      </c>
      <c r="R357" s="36" t="s">
        <v>587</v>
      </c>
      <c r="S357" s="35" t="str">
        <f aca="false">IF(ISNUMBER($AF357),INDEX(IDX_SrcStat,$AF357),"—")</f>
        <v>—</v>
      </c>
      <c r="T357" s="35" t="str">
        <f aca="false">IF(ISNUMBER($AF357),INDEX(IDX_SrcGrade,$AF357),"—")</f>
        <v>—</v>
      </c>
      <c r="U357" s="35" t="s">
        <v>3189</v>
      </c>
      <c r="V357" s="186" t="n">
        <f aca="false">IF(AND($F357="原始數據",$U357&lt;&gt;"連結 SRC"),1,0)</f>
        <v>0</v>
      </c>
      <c r="W357" s="186" t="n">
        <f aca="false">IF(AND($F357="Analogy",OR($H357="—",$H357="")),1,0)</f>
        <v>0</v>
      </c>
      <c r="X357" s="186" t="n">
        <f aca="false">IF(AND(OR($F357="Analogy",$F357="Assumed"),$G357&lt;&gt;"低",$G357&lt;&gt;"高",NOT(ISNUMBER($K357)),NOT(ISNUMBER($L357)),OR($M357="—",$M357="")),1,0)</f>
        <v>0</v>
      </c>
      <c r="Y357" s="186" t="n">
        <f aca="false">IF(AND(OR($F357="Analogy",$F357="Assumed",$F357="Derived（待改公式）",$F357="Derived（公式）"),OR($N357="—",$N357="",$N357=0)),1,0)</f>
        <v>0</v>
      </c>
      <c r="Z357" s="186" t="n">
        <f aca="false">IF(AND($F357="Decision",OR($J357="—",$J357="")),1,0)</f>
        <v>0</v>
      </c>
      <c r="AA357" s="183" t="n">
        <f aca="false">IF(OR($J357="—",$J357=""),0,IF(COUNTIF(Decisions!$A$5:$A$300,$J357)=0,1,0))</f>
        <v>0</v>
      </c>
      <c r="AB357" s="186" t="n">
        <f aca="false">IF(AND($F357="原始數據",$S357&lt;&gt;"Active"),1,0)</f>
        <v>0</v>
      </c>
      <c r="AC357" s="186" t="n">
        <f aca="false">IF(AND(ISNUMBER($K357),ISNUMBER($L357),ISNUMBER($Q357)),IF(OR($Q357&lt;MIN($K357,$L357),$Q357&gt;MAX($K357,$L357)),1,0),0)</f>
        <v>0</v>
      </c>
      <c r="AD357" s="186" t="n">
        <f aca="false">IF(AND(ISNUMBER($T357),$P357="高"),IF($T357=3,1,0),0)</f>
        <v>0</v>
      </c>
      <c r="AE357" s="186" t="n">
        <f aca="false">IF($S357="不存在",1,0)</f>
        <v>0</v>
      </c>
      <c r="AF357" s="35" t="str">
        <f aca="false">IF(OR($H357="—",$H357=""),"—",MATCH($H357,IDX_SrcID,0))</f>
        <v>—</v>
      </c>
      <c r="AG357" s="104" t="n">
        <f aca="false">IF(AND($P357="高",OR($AD357=1,$X357=1)),1,0)</f>
        <v>0</v>
      </c>
      <c r="AH357" s="104" t="n">
        <f aca="false">IF(AND($P357="高",$AG357=0,OR($F357&lt;&gt;"原始數據",$T357&lt;&gt;1)),1,0)</f>
        <v>0</v>
      </c>
      <c r="AI357" s="53" t="str">
        <f aca="false">IF(AND($P357="高",ISNUMBER($AF357)),INDEX(IDX_SrcDate,$AF357),"—")</f>
        <v>—</v>
      </c>
      <c r="AJ357" s="104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6" t="s">
        <v>4034</v>
      </c>
      <c r="B358" s="215" t="s">
        <v>3183</v>
      </c>
      <c r="C358" s="36" t="s">
        <v>3923</v>
      </c>
      <c r="D358" s="36" t="s">
        <v>4035</v>
      </c>
      <c r="E358" s="6" t="s">
        <v>489</v>
      </c>
      <c r="F358" s="36" t="s">
        <v>80</v>
      </c>
      <c r="G358" s="215" t="s">
        <v>3185</v>
      </c>
      <c r="H358" s="36" t="s">
        <v>587</v>
      </c>
      <c r="I358" s="6" t="s">
        <v>587</v>
      </c>
      <c r="J358" s="36" t="s">
        <v>587</v>
      </c>
      <c r="K358" s="217" t="n">
        <v>0.5</v>
      </c>
      <c r="L358" s="217" t="n">
        <v>1.5</v>
      </c>
      <c r="M358" s="36" t="s">
        <v>4030</v>
      </c>
      <c r="N358" s="6" t="s">
        <v>4036</v>
      </c>
      <c r="O358" s="6" t="s">
        <v>587</v>
      </c>
      <c r="P358" s="215" t="s">
        <v>1116</v>
      </c>
      <c r="Q358" s="175" t="n">
        <f aca="false">Calib!F69</f>
        <v>1</v>
      </c>
      <c r="R358" s="36" t="s">
        <v>587</v>
      </c>
      <c r="S358" s="35" t="str">
        <f aca="false">IF(ISNUMBER($AF358),INDEX(IDX_SrcStat,$AF358),"—")</f>
        <v>—</v>
      </c>
      <c r="T358" s="35" t="str">
        <f aca="false">IF(ISNUMBER($AF358),INDEX(IDX_SrcGrade,$AF358),"—")</f>
        <v>—</v>
      </c>
      <c r="U358" s="35" t="s">
        <v>3189</v>
      </c>
      <c r="V358" s="186" t="n">
        <f aca="false">IF(AND($F358="原始數據",$U358&lt;&gt;"連結 SRC"),1,0)</f>
        <v>0</v>
      </c>
      <c r="W358" s="186" t="n">
        <f aca="false">IF(AND($F358="Analogy",OR($H358="—",$H358="")),1,0)</f>
        <v>0</v>
      </c>
      <c r="X358" s="186" t="n">
        <f aca="false">IF(AND(OR($F358="Analogy",$F358="Assumed"),$G358&lt;&gt;"低",$G358&lt;&gt;"高",NOT(ISNUMBER($K358)),NOT(ISNUMBER($L358)),OR($M358="—",$M358="")),1,0)</f>
        <v>0</v>
      </c>
      <c r="Y358" s="186" t="n">
        <f aca="false">IF(AND(OR($F358="Analogy",$F358="Assumed",$F358="Derived（待改公式）",$F358="Derived（公式）"),OR($N358="—",$N358="",$N358=0)),1,0)</f>
        <v>0</v>
      </c>
      <c r="Z358" s="186" t="n">
        <f aca="false">IF(AND($F358="Decision",OR($J358="—",$J358="")),1,0)</f>
        <v>0</v>
      </c>
      <c r="AA358" s="183" t="n">
        <f aca="false">IF(OR($J358="—",$J358=""),0,IF(COUNTIF(Decisions!$A$5:$A$300,$J358)=0,1,0))</f>
        <v>0</v>
      </c>
      <c r="AB358" s="186" t="n">
        <f aca="false">IF(AND($F358="原始數據",$S358&lt;&gt;"Active"),1,0)</f>
        <v>0</v>
      </c>
      <c r="AC358" s="186" t="n">
        <f aca="false">IF(AND(ISNUMBER($K358),ISNUMBER($L358),ISNUMBER($Q358)),IF(OR($Q358&lt;MIN($K358,$L358),$Q358&gt;MAX($K358,$L358)),1,0),0)</f>
        <v>0</v>
      </c>
      <c r="AD358" s="186" t="n">
        <f aca="false">IF(AND(ISNUMBER($T358),$P358="高"),IF($T358=3,1,0),0)</f>
        <v>0</v>
      </c>
      <c r="AE358" s="186" t="n">
        <f aca="false">IF($S358="不存在",1,0)</f>
        <v>0</v>
      </c>
      <c r="AF358" s="35" t="str">
        <f aca="false">IF(OR($H358="—",$H358=""),"—",MATCH($H358,IDX_SrcID,0))</f>
        <v>—</v>
      </c>
      <c r="AG358" s="104" t="n">
        <f aca="false">IF(AND($P358="高",OR($AD358=1,$X358=1)),1,0)</f>
        <v>0</v>
      </c>
      <c r="AH358" s="104" t="n">
        <f aca="false">IF(AND($P358="高",$AG358=0,OR($F358&lt;&gt;"原始數據",$T358&lt;&gt;1)),1,0)</f>
        <v>1</v>
      </c>
      <c r="AI358" s="53" t="str">
        <f aca="false">IF(AND($P358="高",ISNUMBER($AF358)),INDEX(IDX_SrcDate,$AF358),"—")</f>
        <v>—</v>
      </c>
      <c r="AJ358" s="104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6" t="s">
        <v>4037</v>
      </c>
      <c r="B359" s="215" t="s">
        <v>3183</v>
      </c>
      <c r="C359" s="36" t="s">
        <v>3923</v>
      </c>
      <c r="D359" s="36" t="s">
        <v>4038</v>
      </c>
      <c r="E359" s="6" t="s">
        <v>489</v>
      </c>
      <c r="F359" s="36" t="s">
        <v>80</v>
      </c>
      <c r="G359" s="215" t="s">
        <v>3185</v>
      </c>
      <c r="H359" s="36" t="s">
        <v>587</v>
      </c>
      <c r="I359" s="6" t="s">
        <v>587</v>
      </c>
      <c r="J359" s="36" t="s">
        <v>587</v>
      </c>
      <c r="K359" s="217" t="n">
        <v>0.5</v>
      </c>
      <c r="L359" s="217" t="n">
        <v>1.5</v>
      </c>
      <c r="M359" s="36" t="s">
        <v>4030</v>
      </c>
      <c r="N359" s="6" t="s">
        <v>4031</v>
      </c>
      <c r="O359" s="6" t="s">
        <v>587</v>
      </c>
      <c r="P359" s="215" t="s">
        <v>3244</v>
      </c>
      <c r="Q359" s="175" t="n">
        <f aca="false">Calib!G69</f>
        <v>1</v>
      </c>
      <c r="R359" s="36" t="s">
        <v>587</v>
      </c>
      <c r="S359" s="35" t="str">
        <f aca="false">IF(ISNUMBER($AF359),INDEX(IDX_SrcStat,$AF359),"—")</f>
        <v>—</v>
      </c>
      <c r="T359" s="35" t="str">
        <f aca="false">IF(ISNUMBER($AF359),INDEX(IDX_SrcGrade,$AF359),"—")</f>
        <v>—</v>
      </c>
      <c r="U359" s="35" t="s">
        <v>3189</v>
      </c>
      <c r="V359" s="186" t="n">
        <f aca="false">IF(AND($F359="原始數據",$U359&lt;&gt;"連結 SRC"),1,0)</f>
        <v>0</v>
      </c>
      <c r="W359" s="186" t="n">
        <f aca="false">IF(AND($F359="Analogy",OR($H359="—",$H359="")),1,0)</f>
        <v>0</v>
      </c>
      <c r="X359" s="186" t="n">
        <f aca="false">IF(AND(OR($F359="Analogy",$F359="Assumed"),$G359&lt;&gt;"低",$G359&lt;&gt;"高",NOT(ISNUMBER($K359)),NOT(ISNUMBER($L359)),OR($M359="—",$M359="")),1,0)</f>
        <v>0</v>
      </c>
      <c r="Y359" s="186" t="n">
        <f aca="false">IF(AND(OR($F359="Analogy",$F359="Assumed",$F359="Derived（待改公式）",$F359="Derived（公式）"),OR($N359="—",$N359="",$N359=0)),1,0)</f>
        <v>0</v>
      </c>
      <c r="Z359" s="186" t="n">
        <f aca="false">IF(AND($F359="Decision",OR($J359="—",$J359="")),1,0)</f>
        <v>0</v>
      </c>
      <c r="AA359" s="183" t="n">
        <f aca="false">IF(OR($J359="—",$J359=""),0,IF(COUNTIF(Decisions!$A$5:$A$300,$J359)=0,1,0))</f>
        <v>0</v>
      </c>
      <c r="AB359" s="186" t="n">
        <f aca="false">IF(AND($F359="原始數據",$S359&lt;&gt;"Active"),1,0)</f>
        <v>0</v>
      </c>
      <c r="AC359" s="186" t="n">
        <f aca="false">IF(AND(ISNUMBER($K359),ISNUMBER($L359),ISNUMBER($Q359)),IF(OR($Q359&lt;MIN($K359,$L359),$Q359&gt;MAX($K359,$L359)),1,0),0)</f>
        <v>0</v>
      </c>
      <c r="AD359" s="186" t="n">
        <f aca="false">IF(AND(ISNUMBER($T359),$P359="高"),IF($T359=3,1,0),0)</f>
        <v>0</v>
      </c>
      <c r="AE359" s="186" t="n">
        <f aca="false">IF($S359="不存在",1,0)</f>
        <v>0</v>
      </c>
      <c r="AF359" s="35" t="str">
        <f aca="false">IF(OR($H359="—",$H359=""),"—",MATCH($H359,IDX_SrcID,0))</f>
        <v>—</v>
      </c>
      <c r="AG359" s="104" t="n">
        <f aca="false">IF(AND($P359="高",OR($AD359=1,$X359=1)),1,0)</f>
        <v>0</v>
      </c>
      <c r="AH359" s="104" t="n">
        <f aca="false">IF(AND($P359="高",$AG359=0,OR($F359&lt;&gt;"原始數據",$T359&lt;&gt;1)),1,0)</f>
        <v>0</v>
      </c>
      <c r="AI359" s="53" t="str">
        <f aca="false">IF(AND($P359="高",ISNUMBER($AF359)),INDEX(IDX_SrcDate,$AF359),"—")</f>
        <v>—</v>
      </c>
      <c r="AJ359" s="104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6" t="s">
        <v>4039</v>
      </c>
      <c r="B360" s="215" t="s">
        <v>3183</v>
      </c>
      <c r="C360" s="36" t="s">
        <v>3923</v>
      </c>
      <c r="D360" s="36" t="s">
        <v>4040</v>
      </c>
      <c r="E360" s="6" t="s">
        <v>515</v>
      </c>
      <c r="F360" s="215" t="s">
        <v>348</v>
      </c>
      <c r="G360" s="215" t="s">
        <v>3930</v>
      </c>
      <c r="H360" s="36" t="s">
        <v>587</v>
      </c>
      <c r="I360" s="6" t="s">
        <v>587</v>
      </c>
      <c r="J360" s="36" t="s">
        <v>587</v>
      </c>
      <c r="K360" s="215"/>
      <c r="L360" s="215"/>
      <c r="M360" s="36" t="s">
        <v>587</v>
      </c>
      <c r="N360" s="6" t="s">
        <v>4041</v>
      </c>
      <c r="O360" s="6" t="s">
        <v>587</v>
      </c>
      <c r="P360" s="36" t="s">
        <v>587</v>
      </c>
      <c r="Q360" s="185" t="s">
        <v>587</v>
      </c>
      <c r="R360" s="36" t="s">
        <v>587</v>
      </c>
      <c r="S360" s="35" t="str">
        <f aca="false">IF(ISNUMBER($AF360),INDEX(IDX_SrcStat,$AF360),"—")</f>
        <v>—</v>
      </c>
      <c r="T360" s="35" t="str">
        <f aca="false">IF(ISNUMBER($AF360),INDEX(IDX_SrcGrade,$AF360),"—")</f>
        <v>—</v>
      </c>
      <c r="U360" s="36" t="s">
        <v>587</v>
      </c>
      <c r="V360" s="186" t="n">
        <f aca="false">IF(AND($F360="原始數據",$U360&lt;&gt;"連結 SRC"),1,0)</f>
        <v>0</v>
      </c>
      <c r="W360" s="186" t="n">
        <f aca="false">IF(AND($F360="Analogy",OR($H360="—",$H360="")),1,0)</f>
        <v>0</v>
      </c>
      <c r="X360" s="186" t="n">
        <f aca="false">IF(AND(OR($F360="Analogy",$F360="Assumed"),$G360&lt;&gt;"低",$G360&lt;&gt;"高",NOT(ISNUMBER($K360)),NOT(ISNUMBER($L360)),OR($M360="—",$M360="")),1,0)</f>
        <v>0</v>
      </c>
      <c r="Y360" s="186" t="n">
        <f aca="false">IF(AND(OR($F360="Analogy",$F360="Assumed",$F360="Derived（待改公式）",$F360="Derived（公式）"),OR($N360="—",$N360="",$N360=0)),1,0)</f>
        <v>0</v>
      </c>
      <c r="Z360" s="186" t="n">
        <f aca="false">IF(AND($F360="Decision",OR($J360="—",$J360="")),1,0)</f>
        <v>0</v>
      </c>
      <c r="AA360" s="183" t="n">
        <f aca="false">IF(OR($J360="—",$J360=""),0,IF(COUNTIF(Decisions!$A$5:$A$300,$J360)=0,1,0))</f>
        <v>0</v>
      </c>
      <c r="AB360" s="186" t="n">
        <f aca="false">IF(AND($F360="原始數據",$S360&lt;&gt;"Active"),1,0)</f>
        <v>0</v>
      </c>
      <c r="AC360" s="186" t="n">
        <f aca="false">IF(AND(ISNUMBER($K360),ISNUMBER($L360),ISNUMBER($Q360)),IF(OR($Q360&lt;MIN($K360,$L360),$Q360&gt;MAX($K360,$L360)),1,0),0)</f>
        <v>0</v>
      </c>
      <c r="AD360" s="186" t="n">
        <f aca="false">IF(AND(ISNUMBER($T360),$P360="高"),IF($T360=3,1,0),0)</f>
        <v>0</v>
      </c>
      <c r="AE360" s="186" t="n">
        <f aca="false">IF($S360="不存在",1,0)</f>
        <v>0</v>
      </c>
      <c r="AF360" s="35" t="str">
        <f aca="false">IF(OR($H360="—",$H360=""),"—",MATCH($H360,IDX_SrcID,0))</f>
        <v>—</v>
      </c>
      <c r="AG360" s="104" t="n">
        <f aca="false">IF(AND($P360="高",OR($AD360=1,$X360=1)),1,0)</f>
        <v>0</v>
      </c>
      <c r="AH360" s="104" t="n">
        <f aca="false">IF(AND($P360="高",$AG360=0,OR($F360&lt;&gt;"原始數據",$T360&lt;&gt;1)),1,0)</f>
        <v>0</v>
      </c>
      <c r="AI360" s="53" t="str">
        <f aca="false">IF(AND($P360="高",ISNUMBER($AF360)),INDEX(IDX_SrcDate,$AF360),"—")</f>
        <v>—</v>
      </c>
      <c r="AJ360" s="104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6" t="s">
        <v>4042</v>
      </c>
      <c r="B361" s="215" t="s">
        <v>3183</v>
      </c>
      <c r="C361" s="36" t="s">
        <v>3923</v>
      </c>
      <c r="D361" s="36" t="s">
        <v>4043</v>
      </c>
      <c r="E361" s="19" t="s">
        <v>235</v>
      </c>
      <c r="F361" s="215" t="s">
        <v>298</v>
      </c>
      <c r="G361" s="215" t="s">
        <v>3185</v>
      </c>
      <c r="H361" s="36" t="s">
        <v>4044</v>
      </c>
      <c r="I361" s="19" t="s">
        <v>3220</v>
      </c>
      <c r="J361" s="36" t="s">
        <v>587</v>
      </c>
      <c r="K361" s="215"/>
      <c r="L361" s="215"/>
      <c r="M361" s="36" t="s">
        <v>587</v>
      </c>
      <c r="N361" s="19" t="s">
        <v>3318</v>
      </c>
      <c r="O361" s="6" t="s">
        <v>587</v>
      </c>
      <c r="P361" s="215" t="s">
        <v>3188</v>
      </c>
      <c r="Q361" s="41" t="n">
        <f aca="false">Calib!C100</f>
        <v>671</v>
      </c>
      <c r="R361" s="185" t="n">
        <f aca="false">SRC_MOD_020</f>
        <v>671</v>
      </c>
      <c r="S361" s="35" t="str">
        <f aca="false">IF(ISNUMBER($AF361),INDEX(IDX_SrcStat,$AF361),"—")</f>
        <v>Active</v>
      </c>
      <c r="T361" s="35" t="n">
        <f aca="false">IF(ISNUMBER($AF361),INDEX(IDX_SrcGrade,$AF361),"—")</f>
        <v>3</v>
      </c>
      <c r="U361" s="35" t="s">
        <v>3222</v>
      </c>
      <c r="V361" s="186" t="n">
        <f aca="false">IF(AND($F361="原始數據",$U361&lt;&gt;"連結 SRC"),1,0)</f>
        <v>0</v>
      </c>
      <c r="W361" s="186" t="n">
        <f aca="false">IF(AND($F361="Analogy",OR($H361="—",$H361="")),1,0)</f>
        <v>0</v>
      </c>
      <c r="X361" s="186" t="n">
        <f aca="false">IF(AND(OR($F361="Analogy",$F361="Assumed"),$G361&lt;&gt;"低",$G361&lt;&gt;"高",NOT(ISNUMBER($K361)),NOT(ISNUMBER($L361)),OR($M361="—",$M361="")),1,0)</f>
        <v>0</v>
      </c>
      <c r="Y361" s="186" t="n">
        <f aca="false">IF(AND(OR($F361="Analogy",$F361="Assumed",$F361="Derived（待改公式）",$F361="Derived（公式）"),OR($N361="—",$N361="",$N361=0)),1,0)</f>
        <v>0</v>
      </c>
      <c r="Z361" s="186" t="n">
        <f aca="false">IF(AND($F361="Decision",OR($J361="—",$J361="")),1,0)</f>
        <v>0</v>
      </c>
      <c r="AA361" s="183" t="n">
        <f aca="false">IF(OR($J361="—",$J361=""),0,IF(COUNTIF(Decisions!$A$5:$A$300,$J361)=0,1,0))</f>
        <v>0</v>
      </c>
      <c r="AB361" s="186" t="n">
        <f aca="false">IF(AND($F361="原始數據",$S361&lt;&gt;"Active"),1,0)</f>
        <v>0</v>
      </c>
      <c r="AC361" s="186" t="n">
        <f aca="false">IF(AND(ISNUMBER($K361),ISNUMBER($L361),ISNUMBER($Q361)),IF(OR($Q361&lt;MIN($K361,$L361),$Q361&gt;MAX($K361,$L361)),1,0),0)</f>
        <v>0</v>
      </c>
      <c r="AD361" s="186" t="n">
        <f aca="false">IF(AND(ISNUMBER($T361),$P361="高"),IF($T361=3,1,0),0)</f>
        <v>0</v>
      </c>
      <c r="AE361" s="186" t="n">
        <f aca="false">IF($S361="不存在",1,0)</f>
        <v>0</v>
      </c>
      <c r="AF361" s="35" t="n">
        <f aca="false">IF(OR($H361="—",$H361=""),"—",MATCH($H361,IDX_SrcID,0))</f>
        <v>197</v>
      </c>
      <c r="AG361" s="104" t="n">
        <f aca="false">IF(AND($P361="高",OR($AD361=1,$X361=1)),1,0)</f>
        <v>0</v>
      </c>
      <c r="AH361" s="104" t="n">
        <f aca="false">IF(AND($P361="高",$AG361=0,OR($F361&lt;&gt;"原始數據",$T361&lt;&gt;1)),1,0)</f>
        <v>0</v>
      </c>
      <c r="AI361" s="53" t="str">
        <f aca="false">IF(AND($P361="高",ISNUMBER($AF361)),INDEX(IDX_SrcDate,$AF361),"—")</f>
        <v>—</v>
      </c>
      <c r="AJ361" s="104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6" t="s">
        <v>4045</v>
      </c>
      <c r="B362" s="215" t="s">
        <v>3183</v>
      </c>
      <c r="C362" s="36" t="s">
        <v>3923</v>
      </c>
      <c r="D362" s="36" t="s">
        <v>4046</v>
      </c>
      <c r="E362" s="19" t="s">
        <v>239</v>
      </c>
      <c r="F362" s="215" t="s">
        <v>298</v>
      </c>
      <c r="G362" s="215" t="s">
        <v>3185</v>
      </c>
      <c r="H362" s="36" t="s">
        <v>4047</v>
      </c>
      <c r="I362" s="19" t="s">
        <v>3220</v>
      </c>
      <c r="J362" s="36" t="s">
        <v>587</v>
      </c>
      <c r="K362" s="215"/>
      <c r="L362" s="215"/>
      <c r="M362" s="36" t="s">
        <v>587</v>
      </c>
      <c r="N362" s="19" t="s">
        <v>3318</v>
      </c>
      <c r="O362" s="6" t="s">
        <v>587</v>
      </c>
      <c r="P362" s="215" t="s">
        <v>3188</v>
      </c>
      <c r="Q362" s="41" t="n">
        <f aca="false">Calib!C101</f>
        <v>37</v>
      </c>
      <c r="R362" s="185" t="n">
        <f aca="false">SRC_MOD_021</f>
        <v>37</v>
      </c>
      <c r="S362" s="35" t="str">
        <f aca="false">IF(ISNUMBER($AF362),INDEX(IDX_SrcStat,$AF362),"—")</f>
        <v>Active</v>
      </c>
      <c r="T362" s="35" t="n">
        <f aca="false">IF(ISNUMBER($AF362),INDEX(IDX_SrcGrade,$AF362),"—")</f>
        <v>3</v>
      </c>
      <c r="U362" s="35" t="s">
        <v>3222</v>
      </c>
      <c r="V362" s="186" t="n">
        <f aca="false">IF(AND($F362="原始數據",$U362&lt;&gt;"連結 SRC"),1,0)</f>
        <v>0</v>
      </c>
      <c r="W362" s="186" t="n">
        <f aca="false">IF(AND($F362="Analogy",OR($H362="—",$H362="")),1,0)</f>
        <v>0</v>
      </c>
      <c r="X362" s="186" t="n">
        <f aca="false">IF(AND(OR($F362="Analogy",$F362="Assumed"),$G362&lt;&gt;"低",$G362&lt;&gt;"高",NOT(ISNUMBER($K362)),NOT(ISNUMBER($L362)),OR($M362="—",$M362="")),1,0)</f>
        <v>0</v>
      </c>
      <c r="Y362" s="186" t="n">
        <f aca="false">IF(AND(OR($F362="Analogy",$F362="Assumed",$F362="Derived（待改公式）",$F362="Derived（公式）"),OR($N362="—",$N362="",$N362=0)),1,0)</f>
        <v>0</v>
      </c>
      <c r="Z362" s="186" t="n">
        <f aca="false">IF(AND($F362="Decision",OR($J362="—",$J362="")),1,0)</f>
        <v>0</v>
      </c>
      <c r="AA362" s="183" t="n">
        <f aca="false">IF(OR($J362="—",$J362=""),0,IF(COUNTIF(Decisions!$A$5:$A$300,$J362)=0,1,0))</f>
        <v>0</v>
      </c>
      <c r="AB362" s="186" t="n">
        <f aca="false">IF(AND($F362="原始數據",$S362&lt;&gt;"Active"),1,0)</f>
        <v>0</v>
      </c>
      <c r="AC362" s="186" t="n">
        <f aca="false">IF(AND(ISNUMBER($K362),ISNUMBER($L362),ISNUMBER($Q362)),IF(OR($Q362&lt;MIN($K362,$L362),$Q362&gt;MAX($K362,$L362)),1,0),0)</f>
        <v>0</v>
      </c>
      <c r="AD362" s="186" t="n">
        <f aca="false">IF(AND(ISNUMBER($T362),$P362="高"),IF($T362=3,1,0),0)</f>
        <v>0</v>
      </c>
      <c r="AE362" s="186" t="n">
        <f aca="false">IF($S362="不存在",1,0)</f>
        <v>0</v>
      </c>
      <c r="AF362" s="35" t="n">
        <f aca="false">IF(OR($H362="—",$H362=""),"—",MATCH($H362,IDX_SrcID,0))</f>
        <v>198</v>
      </c>
      <c r="AG362" s="104" t="n">
        <f aca="false">IF(AND($P362="高",OR($AD362=1,$X362=1)),1,0)</f>
        <v>0</v>
      </c>
      <c r="AH362" s="104" t="n">
        <f aca="false">IF(AND($P362="高",$AG362=0,OR($F362&lt;&gt;"原始數據",$T362&lt;&gt;1)),1,0)</f>
        <v>0</v>
      </c>
      <c r="AI362" s="53" t="str">
        <f aca="false">IF(AND($P362="高",ISNUMBER($AF362)),INDEX(IDX_SrcDate,$AF362),"—")</f>
        <v>—</v>
      </c>
      <c r="AJ362" s="104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6" t="s">
        <v>4048</v>
      </c>
      <c r="B363" s="215" t="s">
        <v>3183</v>
      </c>
      <c r="C363" s="36" t="s">
        <v>3923</v>
      </c>
      <c r="D363" s="36" t="s">
        <v>4049</v>
      </c>
      <c r="E363" s="19" t="s">
        <v>241</v>
      </c>
      <c r="F363" s="215" t="s">
        <v>298</v>
      </c>
      <c r="G363" s="215" t="s">
        <v>3185</v>
      </c>
      <c r="H363" s="36" t="s">
        <v>4050</v>
      </c>
      <c r="I363" s="19" t="s">
        <v>3220</v>
      </c>
      <c r="J363" s="36" t="s">
        <v>587</v>
      </c>
      <c r="K363" s="215"/>
      <c r="L363" s="215"/>
      <c r="M363" s="36" t="s">
        <v>587</v>
      </c>
      <c r="N363" s="19" t="s">
        <v>3318</v>
      </c>
      <c r="O363" s="6" t="s">
        <v>587</v>
      </c>
      <c r="P363" s="215" t="s">
        <v>3188</v>
      </c>
      <c r="Q363" s="41" t="n">
        <f aca="false">Calib!C102</f>
        <v>61</v>
      </c>
      <c r="R363" s="185" t="n">
        <f aca="false">SRC_MOD_022</f>
        <v>61</v>
      </c>
      <c r="S363" s="35" t="str">
        <f aca="false">IF(ISNUMBER($AF363),INDEX(IDX_SrcStat,$AF363),"—")</f>
        <v>Active</v>
      </c>
      <c r="T363" s="35" t="n">
        <f aca="false">IF(ISNUMBER($AF363),INDEX(IDX_SrcGrade,$AF363),"—")</f>
        <v>3</v>
      </c>
      <c r="U363" s="35" t="s">
        <v>3222</v>
      </c>
      <c r="V363" s="186" t="n">
        <f aca="false">IF(AND($F363="原始數據",$U363&lt;&gt;"連結 SRC"),1,0)</f>
        <v>0</v>
      </c>
      <c r="W363" s="186" t="n">
        <f aca="false">IF(AND($F363="Analogy",OR($H363="—",$H363="")),1,0)</f>
        <v>0</v>
      </c>
      <c r="X363" s="186" t="n">
        <f aca="false">IF(AND(OR($F363="Analogy",$F363="Assumed"),$G363&lt;&gt;"低",$G363&lt;&gt;"高",NOT(ISNUMBER($K363)),NOT(ISNUMBER($L363)),OR($M363="—",$M363="")),1,0)</f>
        <v>0</v>
      </c>
      <c r="Y363" s="186" t="n">
        <f aca="false">IF(AND(OR($F363="Analogy",$F363="Assumed",$F363="Derived（待改公式）",$F363="Derived（公式）"),OR($N363="—",$N363="",$N363=0)),1,0)</f>
        <v>0</v>
      </c>
      <c r="Z363" s="186" t="n">
        <f aca="false">IF(AND($F363="Decision",OR($J363="—",$J363="")),1,0)</f>
        <v>0</v>
      </c>
      <c r="AA363" s="183" t="n">
        <f aca="false">IF(OR($J363="—",$J363=""),0,IF(COUNTIF(Decisions!$A$5:$A$300,$J363)=0,1,0))</f>
        <v>0</v>
      </c>
      <c r="AB363" s="186" t="n">
        <f aca="false">IF(AND($F363="原始數據",$S363&lt;&gt;"Active"),1,0)</f>
        <v>0</v>
      </c>
      <c r="AC363" s="186" t="n">
        <f aca="false">IF(AND(ISNUMBER($K363),ISNUMBER($L363),ISNUMBER($Q363)),IF(OR($Q363&lt;MIN($K363,$L363),$Q363&gt;MAX($K363,$L363)),1,0),0)</f>
        <v>0</v>
      </c>
      <c r="AD363" s="186" t="n">
        <f aca="false">IF(AND(ISNUMBER($T363),$P363="高"),IF($T363=3,1,0),0)</f>
        <v>0</v>
      </c>
      <c r="AE363" s="186" t="n">
        <f aca="false">IF($S363="不存在",1,0)</f>
        <v>0</v>
      </c>
      <c r="AF363" s="35" t="n">
        <f aca="false">IF(OR($H363="—",$H363=""),"—",MATCH($H363,IDX_SrcID,0))</f>
        <v>199</v>
      </c>
      <c r="AG363" s="104" t="n">
        <f aca="false">IF(AND($P363="高",OR($AD363=1,$X363=1)),1,0)</f>
        <v>0</v>
      </c>
      <c r="AH363" s="104" t="n">
        <f aca="false">IF(AND($P363="高",$AG363=0,OR($F363&lt;&gt;"原始數據",$T363&lt;&gt;1)),1,0)</f>
        <v>0</v>
      </c>
      <c r="AI363" s="53" t="str">
        <f aca="false">IF(AND($P363="高",ISNUMBER($AF363)),INDEX(IDX_SrcDate,$AF363),"—")</f>
        <v>—</v>
      </c>
      <c r="AJ363" s="104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6" t="s">
        <v>4051</v>
      </c>
      <c r="B364" s="215" t="s">
        <v>3183</v>
      </c>
      <c r="C364" s="36" t="s">
        <v>3923</v>
      </c>
      <c r="D364" s="36" t="s">
        <v>4052</v>
      </c>
      <c r="E364" s="6" t="s">
        <v>244</v>
      </c>
      <c r="F364" s="215" t="s">
        <v>298</v>
      </c>
      <c r="G364" s="215" t="s">
        <v>3185</v>
      </c>
      <c r="H364" s="36" t="s">
        <v>4053</v>
      </c>
      <c r="I364" s="19" t="s">
        <v>3220</v>
      </c>
      <c r="J364" s="36" t="s">
        <v>587</v>
      </c>
      <c r="K364" s="215"/>
      <c r="L364" s="215"/>
      <c r="M364" s="36" t="s">
        <v>587</v>
      </c>
      <c r="N364" s="19" t="s">
        <v>3318</v>
      </c>
      <c r="O364" s="6" t="s">
        <v>587</v>
      </c>
      <c r="P364" s="215" t="s">
        <v>3188</v>
      </c>
      <c r="Q364" s="41" t="n">
        <f aca="false">Calib!C103</f>
        <v>7168</v>
      </c>
      <c r="R364" s="185" t="n">
        <f aca="false">SRC_MOD_023</f>
        <v>7168</v>
      </c>
      <c r="S364" s="35" t="str">
        <f aca="false">IF(ISNUMBER($AF364),INDEX(IDX_SrcStat,$AF364),"—")</f>
        <v>Active</v>
      </c>
      <c r="T364" s="35" t="n">
        <f aca="false">IF(ISNUMBER($AF364),INDEX(IDX_SrcGrade,$AF364),"—")</f>
        <v>3</v>
      </c>
      <c r="U364" s="35" t="s">
        <v>3222</v>
      </c>
      <c r="V364" s="186" t="n">
        <f aca="false">IF(AND($F364="原始數據",$U364&lt;&gt;"連結 SRC"),1,0)</f>
        <v>0</v>
      </c>
      <c r="W364" s="186" t="n">
        <f aca="false">IF(AND($F364="Analogy",OR($H364="—",$H364="")),1,0)</f>
        <v>0</v>
      </c>
      <c r="X364" s="186" t="n">
        <f aca="false">IF(AND(OR($F364="Analogy",$F364="Assumed"),$G364&lt;&gt;"低",$G364&lt;&gt;"高",NOT(ISNUMBER($K364)),NOT(ISNUMBER($L364)),OR($M364="—",$M364="")),1,0)</f>
        <v>0</v>
      </c>
      <c r="Y364" s="186" t="n">
        <f aca="false">IF(AND(OR($F364="Analogy",$F364="Assumed",$F364="Derived（待改公式）",$F364="Derived（公式）"),OR($N364="—",$N364="",$N364=0)),1,0)</f>
        <v>0</v>
      </c>
      <c r="Z364" s="186" t="n">
        <f aca="false">IF(AND($F364="Decision",OR($J364="—",$J364="")),1,0)</f>
        <v>0</v>
      </c>
      <c r="AA364" s="183" t="n">
        <f aca="false">IF(OR($J364="—",$J364=""),0,IF(COUNTIF(Decisions!$A$5:$A$300,$J364)=0,1,0))</f>
        <v>0</v>
      </c>
      <c r="AB364" s="186" t="n">
        <f aca="false">IF(AND($F364="原始數據",$S364&lt;&gt;"Active"),1,0)</f>
        <v>0</v>
      </c>
      <c r="AC364" s="186" t="n">
        <f aca="false">IF(AND(ISNUMBER($K364),ISNUMBER($L364),ISNUMBER($Q364)),IF(OR($Q364&lt;MIN($K364,$L364),$Q364&gt;MAX($K364,$L364)),1,0),0)</f>
        <v>0</v>
      </c>
      <c r="AD364" s="186" t="n">
        <f aca="false">IF(AND(ISNUMBER($T364),$P364="高"),IF($T364=3,1,0),0)</f>
        <v>0</v>
      </c>
      <c r="AE364" s="186" t="n">
        <f aca="false">IF($S364="不存在",1,0)</f>
        <v>0</v>
      </c>
      <c r="AF364" s="35" t="n">
        <f aca="false">IF(OR($H364="—",$H364=""),"—",MATCH($H364,IDX_SrcID,0))</f>
        <v>200</v>
      </c>
      <c r="AG364" s="104" t="n">
        <f aca="false">IF(AND($P364="高",OR($AD364=1,$X364=1)),1,0)</f>
        <v>0</v>
      </c>
      <c r="AH364" s="104" t="n">
        <f aca="false">IF(AND($P364="高",$AG364=0,OR($F364&lt;&gt;"原始數據",$T364&lt;&gt;1)),1,0)</f>
        <v>0</v>
      </c>
      <c r="AI364" s="53" t="str">
        <f aca="false">IF(AND($P364="高",ISNUMBER($AF364)),INDEX(IDX_SrcDate,$AF364),"—")</f>
        <v>—</v>
      </c>
      <c r="AJ364" s="104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6" t="s">
        <v>4054</v>
      </c>
      <c r="B365" s="215" t="s">
        <v>3183</v>
      </c>
      <c r="C365" s="36" t="s">
        <v>3923</v>
      </c>
      <c r="D365" s="36" t="s">
        <v>4055</v>
      </c>
      <c r="E365" s="6" t="s">
        <v>250</v>
      </c>
      <c r="F365" s="215" t="s">
        <v>298</v>
      </c>
      <c r="G365" s="215" t="s">
        <v>3185</v>
      </c>
      <c r="H365" s="36" t="s">
        <v>4056</v>
      </c>
      <c r="I365" s="19" t="s">
        <v>3220</v>
      </c>
      <c r="J365" s="36" t="s">
        <v>587</v>
      </c>
      <c r="K365" s="215"/>
      <c r="L365" s="215"/>
      <c r="M365" s="36" t="s">
        <v>587</v>
      </c>
      <c r="N365" s="19" t="s">
        <v>3318</v>
      </c>
      <c r="O365" s="6" t="s">
        <v>587</v>
      </c>
      <c r="P365" s="215" t="s">
        <v>3188</v>
      </c>
      <c r="Q365" s="41" t="n">
        <f aca="false">Calib!C104</f>
        <v>256</v>
      </c>
      <c r="R365" s="185" t="n">
        <f aca="false">SRC_MOD_024</f>
        <v>256</v>
      </c>
      <c r="S365" s="35" t="str">
        <f aca="false">IF(ISNUMBER($AF365),INDEX(IDX_SrcStat,$AF365),"—")</f>
        <v>Active</v>
      </c>
      <c r="T365" s="35" t="n">
        <f aca="false">IF(ISNUMBER($AF365),INDEX(IDX_SrcGrade,$AF365),"—")</f>
        <v>3</v>
      </c>
      <c r="U365" s="35" t="s">
        <v>3222</v>
      </c>
      <c r="V365" s="186" t="n">
        <f aca="false">IF(AND($F365="原始數據",$U365&lt;&gt;"連結 SRC"),1,0)</f>
        <v>0</v>
      </c>
      <c r="W365" s="186" t="n">
        <f aca="false">IF(AND($F365="Analogy",OR($H365="—",$H365="")),1,0)</f>
        <v>0</v>
      </c>
      <c r="X365" s="186" t="n">
        <f aca="false">IF(AND(OR($F365="Analogy",$F365="Assumed"),$G365&lt;&gt;"低",$G365&lt;&gt;"高",NOT(ISNUMBER($K365)),NOT(ISNUMBER($L365)),OR($M365="—",$M365="")),1,0)</f>
        <v>0</v>
      </c>
      <c r="Y365" s="186" t="n">
        <f aca="false">IF(AND(OR($F365="Analogy",$F365="Assumed",$F365="Derived（待改公式）",$F365="Derived（公式）"),OR($N365="—",$N365="",$N365=0)),1,0)</f>
        <v>0</v>
      </c>
      <c r="Z365" s="186" t="n">
        <f aca="false">IF(AND($F365="Decision",OR($J365="—",$J365="")),1,0)</f>
        <v>0</v>
      </c>
      <c r="AA365" s="183" t="n">
        <f aca="false">IF(OR($J365="—",$J365=""),0,IF(COUNTIF(Decisions!$A$5:$A$300,$J365)=0,1,0))</f>
        <v>0</v>
      </c>
      <c r="AB365" s="186" t="n">
        <f aca="false">IF(AND($F365="原始數據",$S365&lt;&gt;"Active"),1,0)</f>
        <v>0</v>
      </c>
      <c r="AC365" s="186" t="n">
        <f aca="false">IF(AND(ISNUMBER($K365),ISNUMBER($L365),ISNUMBER($Q365)),IF(OR($Q365&lt;MIN($K365,$L365),$Q365&gt;MAX($K365,$L365)),1,0),0)</f>
        <v>0</v>
      </c>
      <c r="AD365" s="186" t="n">
        <f aca="false">IF(AND(ISNUMBER($T365),$P365="高"),IF($T365=3,1,0),0)</f>
        <v>0</v>
      </c>
      <c r="AE365" s="186" t="n">
        <f aca="false">IF($S365="不存在",1,0)</f>
        <v>0</v>
      </c>
      <c r="AF365" s="35" t="n">
        <f aca="false">IF(OR($H365="—",$H365=""),"—",MATCH($H365,IDX_SrcID,0))</f>
        <v>201</v>
      </c>
      <c r="AG365" s="104" t="n">
        <f aca="false">IF(AND($P365="高",OR($AD365=1,$X365=1)),1,0)</f>
        <v>0</v>
      </c>
      <c r="AH365" s="104" t="n">
        <f aca="false">IF(AND($P365="高",$AG365=0,OR($F365&lt;&gt;"原始數據",$T365&lt;&gt;1)),1,0)</f>
        <v>0</v>
      </c>
      <c r="AI365" s="53" t="str">
        <f aca="false">IF(AND($P365="高",ISNUMBER($AF365)),INDEX(IDX_SrcDate,$AF365),"—")</f>
        <v>—</v>
      </c>
      <c r="AJ365" s="104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6" t="s">
        <v>4057</v>
      </c>
      <c r="B366" s="215" t="s">
        <v>3183</v>
      </c>
      <c r="C366" s="36" t="s">
        <v>3923</v>
      </c>
      <c r="D366" s="36" t="s">
        <v>4058</v>
      </c>
      <c r="E366" s="19" t="s">
        <v>4059</v>
      </c>
      <c r="F366" s="215" t="s">
        <v>298</v>
      </c>
      <c r="G366" s="215" t="s">
        <v>3185</v>
      </c>
      <c r="H366" s="36" t="s">
        <v>4060</v>
      </c>
      <c r="I366" s="19" t="s">
        <v>3220</v>
      </c>
      <c r="J366" s="36" t="s">
        <v>587</v>
      </c>
      <c r="K366" s="215"/>
      <c r="L366" s="215"/>
      <c r="M366" s="36" t="s">
        <v>587</v>
      </c>
      <c r="N366" s="19" t="s">
        <v>3318</v>
      </c>
      <c r="O366" s="6" t="s">
        <v>587</v>
      </c>
      <c r="P366" s="215" t="s">
        <v>3188</v>
      </c>
      <c r="Q366" s="41" t="n">
        <f aca="false">Calib!C105</f>
        <v>8</v>
      </c>
      <c r="R366" s="185" t="n">
        <f aca="false">SRC_MOD_025</f>
        <v>8</v>
      </c>
      <c r="S366" s="35" t="str">
        <f aca="false">IF(ISNUMBER($AF366),INDEX(IDX_SrcStat,$AF366),"—")</f>
        <v>Active</v>
      </c>
      <c r="T366" s="35" t="n">
        <f aca="false">IF(ISNUMBER($AF366),INDEX(IDX_SrcGrade,$AF366),"—")</f>
        <v>3</v>
      </c>
      <c r="U366" s="35" t="s">
        <v>3222</v>
      </c>
      <c r="V366" s="186" t="n">
        <f aca="false">IF(AND($F366="原始數據",$U366&lt;&gt;"連結 SRC"),1,0)</f>
        <v>0</v>
      </c>
      <c r="W366" s="186" t="n">
        <f aca="false">IF(AND($F366="Analogy",OR($H366="—",$H366="")),1,0)</f>
        <v>0</v>
      </c>
      <c r="X366" s="186" t="n">
        <f aca="false">IF(AND(OR($F366="Analogy",$F366="Assumed"),$G366&lt;&gt;"低",$G366&lt;&gt;"高",NOT(ISNUMBER($K366)),NOT(ISNUMBER($L366)),OR($M366="—",$M366="")),1,0)</f>
        <v>0</v>
      </c>
      <c r="Y366" s="186" t="n">
        <f aca="false">IF(AND(OR($F366="Analogy",$F366="Assumed",$F366="Derived（待改公式）",$F366="Derived（公式）"),OR($N366="—",$N366="",$N366=0)),1,0)</f>
        <v>0</v>
      </c>
      <c r="Z366" s="186" t="n">
        <f aca="false">IF(AND($F366="Decision",OR($J366="—",$J366="")),1,0)</f>
        <v>0</v>
      </c>
      <c r="AA366" s="183" t="n">
        <f aca="false">IF(OR($J366="—",$J366=""),0,IF(COUNTIF(Decisions!$A$5:$A$300,$J366)=0,1,0))</f>
        <v>0</v>
      </c>
      <c r="AB366" s="186" t="n">
        <f aca="false">IF(AND($F366="原始數據",$S366&lt;&gt;"Active"),1,0)</f>
        <v>0</v>
      </c>
      <c r="AC366" s="186" t="n">
        <f aca="false">IF(AND(ISNUMBER($K366),ISNUMBER($L366),ISNUMBER($Q366)),IF(OR($Q366&lt;MIN($K366,$L366),$Q366&gt;MAX($K366,$L366)),1,0),0)</f>
        <v>0</v>
      </c>
      <c r="AD366" s="186" t="n">
        <f aca="false">IF(AND(ISNUMBER($T366),$P366="高"),IF($T366=3,1,0),0)</f>
        <v>0</v>
      </c>
      <c r="AE366" s="186" t="n">
        <f aca="false">IF($S366="不存在",1,0)</f>
        <v>0</v>
      </c>
      <c r="AF366" s="35" t="n">
        <f aca="false">IF(OR($H366="—",$H366=""),"—",MATCH($H366,IDX_SrcID,0))</f>
        <v>202</v>
      </c>
      <c r="AG366" s="104" t="n">
        <f aca="false">IF(AND($P366="高",OR($AD366=1,$X366=1)),1,0)</f>
        <v>0</v>
      </c>
      <c r="AH366" s="104" t="n">
        <f aca="false">IF(AND($P366="高",$AG366=0,OR($F366&lt;&gt;"原始數據",$T366&lt;&gt;1)),1,0)</f>
        <v>0</v>
      </c>
      <c r="AI366" s="53" t="str">
        <f aca="false">IF(AND($P366="高",ISNUMBER($AF366)),INDEX(IDX_SrcDate,$AF366),"—")</f>
        <v>—</v>
      </c>
      <c r="AJ366" s="104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6" t="s">
        <v>4061</v>
      </c>
      <c r="B367" s="215" t="s">
        <v>3183</v>
      </c>
      <c r="C367" s="36" t="s">
        <v>3923</v>
      </c>
      <c r="D367" s="36" t="s">
        <v>4062</v>
      </c>
      <c r="E367" s="6" t="s">
        <v>252</v>
      </c>
      <c r="F367" s="215" t="s">
        <v>298</v>
      </c>
      <c r="G367" s="215" t="s">
        <v>3185</v>
      </c>
      <c r="H367" s="36" t="s">
        <v>4063</v>
      </c>
      <c r="I367" s="19" t="s">
        <v>3220</v>
      </c>
      <c r="J367" s="36" t="s">
        <v>587</v>
      </c>
      <c r="K367" s="215"/>
      <c r="L367" s="215"/>
      <c r="M367" s="36" t="s">
        <v>587</v>
      </c>
      <c r="N367" s="19" t="s">
        <v>3318</v>
      </c>
      <c r="O367" s="6" t="s">
        <v>587</v>
      </c>
      <c r="P367" s="215" t="s">
        <v>3188</v>
      </c>
      <c r="Q367" s="41" t="n">
        <f aca="false">Calib!C106</f>
        <v>1</v>
      </c>
      <c r="R367" s="185" t="n">
        <f aca="false">SRC_MOD_026</f>
        <v>1</v>
      </c>
      <c r="S367" s="35" t="str">
        <f aca="false">IF(ISNUMBER($AF367),INDEX(IDX_SrcStat,$AF367),"—")</f>
        <v>Active</v>
      </c>
      <c r="T367" s="35" t="n">
        <f aca="false">IF(ISNUMBER($AF367),INDEX(IDX_SrcGrade,$AF367),"—")</f>
        <v>3</v>
      </c>
      <c r="U367" s="35" t="s">
        <v>3222</v>
      </c>
      <c r="V367" s="186" t="n">
        <f aca="false">IF(AND($F367="原始數據",$U367&lt;&gt;"連結 SRC"),1,0)</f>
        <v>0</v>
      </c>
      <c r="W367" s="186" t="n">
        <f aca="false">IF(AND($F367="Analogy",OR($H367="—",$H367="")),1,0)</f>
        <v>0</v>
      </c>
      <c r="X367" s="186" t="n">
        <f aca="false">IF(AND(OR($F367="Analogy",$F367="Assumed"),$G367&lt;&gt;"低",$G367&lt;&gt;"高",NOT(ISNUMBER($K367)),NOT(ISNUMBER($L367)),OR($M367="—",$M367="")),1,0)</f>
        <v>0</v>
      </c>
      <c r="Y367" s="186" t="n">
        <f aca="false">IF(AND(OR($F367="Analogy",$F367="Assumed",$F367="Derived（待改公式）",$F367="Derived（公式）"),OR($N367="—",$N367="",$N367=0)),1,0)</f>
        <v>0</v>
      </c>
      <c r="Z367" s="186" t="n">
        <f aca="false">IF(AND($F367="Decision",OR($J367="—",$J367="")),1,0)</f>
        <v>0</v>
      </c>
      <c r="AA367" s="183" t="n">
        <f aca="false">IF(OR($J367="—",$J367=""),0,IF(COUNTIF(Decisions!$A$5:$A$300,$J367)=0,1,0))</f>
        <v>0</v>
      </c>
      <c r="AB367" s="186" t="n">
        <f aca="false">IF(AND($F367="原始數據",$S367&lt;&gt;"Active"),1,0)</f>
        <v>0</v>
      </c>
      <c r="AC367" s="186" t="n">
        <f aca="false">IF(AND(ISNUMBER($K367),ISNUMBER($L367),ISNUMBER($Q367)),IF(OR($Q367&lt;MIN($K367,$L367),$Q367&gt;MAX($K367,$L367)),1,0),0)</f>
        <v>0</v>
      </c>
      <c r="AD367" s="186" t="n">
        <f aca="false">IF(AND(ISNUMBER($T367),$P367="高"),IF($T367=3,1,0),0)</f>
        <v>0</v>
      </c>
      <c r="AE367" s="186" t="n">
        <f aca="false">IF($S367="不存在",1,0)</f>
        <v>0</v>
      </c>
      <c r="AF367" s="35" t="n">
        <f aca="false">IF(OR($H367="—",$H367=""),"—",MATCH($H367,IDX_SrcID,0))</f>
        <v>203</v>
      </c>
      <c r="AG367" s="104" t="n">
        <f aca="false">IF(AND($P367="高",OR($AD367=1,$X367=1)),1,0)</f>
        <v>0</v>
      </c>
      <c r="AH367" s="104" t="n">
        <f aca="false">IF(AND($P367="高",$AG367=0,OR($F367&lt;&gt;"原始數據",$T367&lt;&gt;1)),1,0)</f>
        <v>0</v>
      </c>
      <c r="AI367" s="53" t="str">
        <f aca="false">IF(AND($P367="高",ISNUMBER($AF367)),INDEX(IDX_SrcDate,$AF367),"—")</f>
        <v>—</v>
      </c>
      <c r="AJ367" s="104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6" t="s">
        <v>4064</v>
      </c>
      <c r="B368" s="215" t="s">
        <v>3183</v>
      </c>
      <c r="C368" s="36" t="s">
        <v>3923</v>
      </c>
      <c r="D368" s="36" t="s">
        <v>4065</v>
      </c>
      <c r="E368" s="6" t="s">
        <v>253</v>
      </c>
      <c r="F368" s="215" t="s">
        <v>298</v>
      </c>
      <c r="G368" s="215" t="s">
        <v>3185</v>
      </c>
      <c r="H368" s="36" t="s">
        <v>4066</v>
      </c>
      <c r="I368" s="19" t="s">
        <v>3220</v>
      </c>
      <c r="J368" s="36" t="s">
        <v>587</v>
      </c>
      <c r="K368" s="215"/>
      <c r="L368" s="215"/>
      <c r="M368" s="36" t="s">
        <v>587</v>
      </c>
      <c r="N368" s="19" t="s">
        <v>3318</v>
      </c>
      <c r="O368" s="6" t="s">
        <v>587</v>
      </c>
      <c r="P368" s="215" t="s">
        <v>3188</v>
      </c>
      <c r="Q368" s="41" t="n">
        <f aca="false">Calib!C107</f>
        <v>129280</v>
      </c>
      <c r="R368" s="185" t="n">
        <f aca="false">SRC_MOD_027</f>
        <v>129280</v>
      </c>
      <c r="S368" s="35" t="str">
        <f aca="false">IF(ISNUMBER($AF368),INDEX(IDX_SrcStat,$AF368),"—")</f>
        <v>Active</v>
      </c>
      <c r="T368" s="35" t="n">
        <f aca="false">IF(ISNUMBER($AF368),INDEX(IDX_SrcGrade,$AF368),"—")</f>
        <v>3</v>
      </c>
      <c r="U368" s="35" t="s">
        <v>3222</v>
      </c>
      <c r="V368" s="186" t="n">
        <f aca="false">IF(AND($F368="原始數據",$U368&lt;&gt;"連結 SRC"),1,0)</f>
        <v>0</v>
      </c>
      <c r="W368" s="186" t="n">
        <f aca="false">IF(AND($F368="Analogy",OR($H368="—",$H368="")),1,0)</f>
        <v>0</v>
      </c>
      <c r="X368" s="186" t="n">
        <f aca="false">IF(AND(OR($F368="Analogy",$F368="Assumed"),$G368&lt;&gt;"低",$G368&lt;&gt;"高",NOT(ISNUMBER($K368)),NOT(ISNUMBER($L368)),OR($M368="—",$M368="")),1,0)</f>
        <v>0</v>
      </c>
      <c r="Y368" s="186" t="n">
        <f aca="false">IF(AND(OR($F368="Analogy",$F368="Assumed",$F368="Derived（待改公式）",$F368="Derived（公式）"),OR($N368="—",$N368="",$N368=0)),1,0)</f>
        <v>0</v>
      </c>
      <c r="Z368" s="186" t="n">
        <f aca="false">IF(AND($F368="Decision",OR($J368="—",$J368="")),1,0)</f>
        <v>0</v>
      </c>
      <c r="AA368" s="183" t="n">
        <f aca="false">IF(OR($J368="—",$J368=""),0,IF(COUNTIF(Decisions!$A$5:$A$300,$J368)=0,1,0))</f>
        <v>0</v>
      </c>
      <c r="AB368" s="186" t="n">
        <f aca="false">IF(AND($F368="原始數據",$S368&lt;&gt;"Active"),1,0)</f>
        <v>0</v>
      </c>
      <c r="AC368" s="186" t="n">
        <f aca="false">IF(AND(ISNUMBER($K368),ISNUMBER($L368),ISNUMBER($Q368)),IF(OR($Q368&lt;MIN($K368,$L368),$Q368&gt;MAX($K368,$L368)),1,0),0)</f>
        <v>0</v>
      </c>
      <c r="AD368" s="186" t="n">
        <f aca="false">IF(AND(ISNUMBER($T368),$P368="高"),IF($T368=3,1,0),0)</f>
        <v>0</v>
      </c>
      <c r="AE368" s="186" t="n">
        <f aca="false">IF($S368="不存在",1,0)</f>
        <v>0</v>
      </c>
      <c r="AF368" s="35" t="n">
        <f aca="false">IF(OR($H368="—",$H368=""),"—",MATCH($H368,IDX_SrcID,0))</f>
        <v>204</v>
      </c>
      <c r="AG368" s="104" t="n">
        <f aca="false">IF(AND($P368="高",OR($AD368=1,$X368=1)),1,0)</f>
        <v>0</v>
      </c>
      <c r="AH368" s="104" t="n">
        <f aca="false">IF(AND($P368="高",$AG368=0,OR($F368&lt;&gt;"原始數據",$T368&lt;&gt;1)),1,0)</f>
        <v>0</v>
      </c>
      <c r="AI368" s="53" t="str">
        <f aca="false">IF(AND($P368="高",ISNUMBER($AF368)),INDEX(IDX_SrcDate,$AF368),"—")</f>
        <v>—</v>
      </c>
      <c r="AJ368" s="104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6" t="s">
        <v>4067</v>
      </c>
      <c r="B369" s="215" t="s">
        <v>3183</v>
      </c>
      <c r="C369" s="36" t="s">
        <v>3923</v>
      </c>
      <c r="D369" s="36" t="s">
        <v>4068</v>
      </c>
      <c r="E369" s="6" t="s">
        <v>526</v>
      </c>
      <c r="F369" s="215" t="s">
        <v>298</v>
      </c>
      <c r="G369" s="215" t="s">
        <v>3185</v>
      </c>
      <c r="H369" s="36" t="s">
        <v>4069</v>
      </c>
      <c r="I369" s="19" t="s">
        <v>3519</v>
      </c>
      <c r="J369" s="36" t="s">
        <v>587</v>
      </c>
      <c r="K369" s="215"/>
      <c r="L369" s="215"/>
      <c r="M369" s="36" t="s">
        <v>587</v>
      </c>
      <c r="N369" s="19" t="s">
        <v>3318</v>
      </c>
      <c r="O369" s="6" t="s">
        <v>587</v>
      </c>
      <c r="P369" s="215" t="s">
        <v>3188</v>
      </c>
      <c r="Q369" s="41" t="n">
        <f aca="false">Calib!C108</f>
        <v>35136</v>
      </c>
      <c r="R369" s="185" t="n">
        <f aca="false">SRC_MOD_028</f>
        <v>576</v>
      </c>
      <c r="S369" s="35" t="str">
        <f aca="false">IF(ISNUMBER($AF369),INDEX(IDX_SrcStat,$AF369),"—")</f>
        <v>Active</v>
      </c>
      <c r="T369" s="35" t="n">
        <f aca="false">IF(ISNUMBER($AF369),INDEX(IDX_SrcGrade,$AF369),"—")</f>
        <v>3</v>
      </c>
      <c r="U369" s="35" t="s">
        <v>3222</v>
      </c>
      <c r="V369" s="186" t="n">
        <f aca="false">IF(AND($F369="原始數據",$U369&lt;&gt;"連結 SRC"),1,0)</f>
        <v>0</v>
      </c>
      <c r="W369" s="186" t="n">
        <f aca="false">IF(AND($F369="Analogy",OR($H369="—",$H369="")),1,0)</f>
        <v>0</v>
      </c>
      <c r="X369" s="186" t="n">
        <f aca="false">IF(AND(OR($F369="Analogy",$F369="Assumed"),$G369&lt;&gt;"低",$G369&lt;&gt;"高",NOT(ISNUMBER($K369)),NOT(ISNUMBER($L369)),OR($M369="—",$M369="")),1,0)</f>
        <v>0</v>
      </c>
      <c r="Y369" s="186" t="n">
        <f aca="false">IF(AND(OR($F369="Analogy",$F369="Assumed",$F369="Derived（待改公式）",$F369="Derived（公式）"),OR($N369="—",$N369="",$N369=0)),1,0)</f>
        <v>0</v>
      </c>
      <c r="Z369" s="186" t="n">
        <f aca="false">IF(AND($F369="Decision",OR($J369="—",$J369="")),1,0)</f>
        <v>0</v>
      </c>
      <c r="AA369" s="183" t="n">
        <f aca="false">IF(OR($J369="—",$J369=""),0,IF(COUNTIF(Decisions!$A$5:$A$300,$J369)=0,1,0))</f>
        <v>0</v>
      </c>
      <c r="AB369" s="186" t="n">
        <f aca="false">IF(AND($F369="原始數據",$S369&lt;&gt;"Active"),1,0)</f>
        <v>0</v>
      </c>
      <c r="AC369" s="186" t="n">
        <f aca="false">IF(AND(ISNUMBER($K369),ISNUMBER($L369),ISNUMBER($Q369)),IF(OR($Q369&lt;MIN($K369,$L369),$Q369&gt;MAX($K369,$L369)),1,0),0)</f>
        <v>0</v>
      </c>
      <c r="AD369" s="186" t="n">
        <f aca="false">IF(AND(ISNUMBER($T369),$P369="高"),IF($T369=3,1,0),0)</f>
        <v>0</v>
      </c>
      <c r="AE369" s="186" t="n">
        <f aca="false">IF($S369="不存在",1,0)</f>
        <v>0</v>
      </c>
      <c r="AF369" s="35" t="n">
        <f aca="false">IF(OR($H369="—",$H369=""),"—",MATCH($H369,IDX_SrcID,0))</f>
        <v>205</v>
      </c>
      <c r="AG369" s="104" t="n">
        <f aca="false">IF(AND($P369="高",OR($AD369=1,$X369=1)),1,0)</f>
        <v>0</v>
      </c>
      <c r="AH369" s="104" t="n">
        <f aca="false">IF(AND($P369="高",$AG369=0,OR($F369&lt;&gt;"原始數據",$T369&lt;&gt;1)),1,0)</f>
        <v>0</v>
      </c>
      <c r="AI369" s="53" t="str">
        <f aca="false">IF(AND($P369="高",ISNUMBER($AF369)),INDEX(IDX_SrcDate,$AF369),"—")</f>
        <v>—</v>
      </c>
      <c r="AJ369" s="104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6" t="s">
        <v>4070</v>
      </c>
      <c r="B370" s="215" t="s">
        <v>3183</v>
      </c>
      <c r="C370" s="36" t="s">
        <v>3923</v>
      </c>
      <c r="D370" s="36" t="s">
        <v>4071</v>
      </c>
      <c r="E370" s="19" t="s">
        <v>4072</v>
      </c>
      <c r="F370" s="215" t="s">
        <v>298</v>
      </c>
      <c r="G370" s="215" t="s">
        <v>3185</v>
      </c>
      <c r="H370" s="36" t="s">
        <v>4073</v>
      </c>
      <c r="I370" s="19" t="s">
        <v>3519</v>
      </c>
      <c r="J370" s="36" t="s">
        <v>587</v>
      </c>
      <c r="K370" s="215"/>
      <c r="L370" s="215"/>
      <c r="M370" s="36" t="s">
        <v>587</v>
      </c>
      <c r="N370" s="19" t="s">
        <v>3318</v>
      </c>
      <c r="O370" s="6" t="s">
        <v>587</v>
      </c>
      <c r="P370" s="215" t="s">
        <v>3188</v>
      </c>
      <c r="Q370" s="41" t="n">
        <f aca="false">Calib!C109</f>
        <v>4997120</v>
      </c>
      <c r="R370" s="185" t="n">
        <f aca="false">SRC_MOD_049</f>
        <v>128</v>
      </c>
      <c r="S370" s="35" t="str">
        <f aca="false">IF(ISNUMBER($AF370),INDEX(IDX_SrcStat,$AF370),"—")</f>
        <v>Active</v>
      </c>
      <c r="T370" s="35" t="n">
        <f aca="false">IF(ISNUMBER($AF370),INDEX(IDX_SrcGrade,$AF370),"—")</f>
        <v>3</v>
      </c>
      <c r="U370" s="35" t="s">
        <v>3222</v>
      </c>
      <c r="V370" s="186" t="n">
        <f aca="false">IF(AND($F370="原始數據",$U370&lt;&gt;"連結 SRC"),1,0)</f>
        <v>0</v>
      </c>
      <c r="W370" s="186" t="n">
        <f aca="false">IF(AND($F370="Analogy",OR($H370="—",$H370="")),1,0)</f>
        <v>0</v>
      </c>
      <c r="X370" s="186" t="n">
        <f aca="false">IF(AND(OR($F370="Analogy",$F370="Assumed"),$G370&lt;&gt;"低",$G370&lt;&gt;"高",NOT(ISNUMBER($K370)),NOT(ISNUMBER($L370)),OR($M370="—",$M370="")),1,0)</f>
        <v>0</v>
      </c>
      <c r="Y370" s="186" t="n">
        <f aca="false">IF(AND(OR($F370="Analogy",$F370="Assumed",$F370="Derived（待改公式）",$F370="Derived（公式）"),OR($N370="—",$N370="",$N370=0)),1,0)</f>
        <v>0</v>
      </c>
      <c r="Z370" s="186" t="n">
        <f aca="false">IF(AND($F370="Decision",OR($J370="—",$J370="")),1,0)</f>
        <v>0</v>
      </c>
      <c r="AA370" s="183" t="n">
        <f aca="false">IF(OR($J370="—",$J370=""),0,IF(COUNTIF(Decisions!$A$5:$A$300,$J370)=0,1,0))</f>
        <v>0</v>
      </c>
      <c r="AB370" s="186" t="n">
        <f aca="false">IF(AND($F370="原始數據",$S370&lt;&gt;"Active"),1,0)</f>
        <v>0</v>
      </c>
      <c r="AC370" s="186" t="n">
        <f aca="false">IF(AND(ISNUMBER($K370),ISNUMBER($L370),ISNUMBER($Q370)),IF(OR($Q370&lt;MIN($K370,$L370),$Q370&gt;MAX($K370,$L370)),1,0),0)</f>
        <v>0</v>
      </c>
      <c r="AD370" s="186" t="n">
        <f aca="false">IF(AND(ISNUMBER($T370),$P370="高"),IF($T370=3,1,0),0)</f>
        <v>0</v>
      </c>
      <c r="AE370" s="186" t="n">
        <f aca="false">IF($S370="不存在",1,0)</f>
        <v>0</v>
      </c>
      <c r="AF370" s="35" t="n">
        <f aca="false">IF(OR($H370="—",$H370=""),"—",MATCH($H370,IDX_SrcID,0))</f>
        <v>226</v>
      </c>
      <c r="AG370" s="104" t="n">
        <f aca="false">IF(AND($P370="高",OR($AD370=1,$X370=1)),1,0)</f>
        <v>0</v>
      </c>
      <c r="AH370" s="104" t="n">
        <f aca="false">IF(AND($P370="高",$AG370=0,OR($F370&lt;&gt;"原始數據",$T370&lt;&gt;1)),1,0)</f>
        <v>0</v>
      </c>
      <c r="AI370" s="53" t="str">
        <f aca="false">IF(AND($P370="高",ISNUMBER($AF370)),INDEX(IDX_SrcDate,$AF370),"—")</f>
        <v>—</v>
      </c>
      <c r="AJ370" s="104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6" t="s">
        <v>4074</v>
      </c>
      <c r="B371" s="215" t="s">
        <v>3183</v>
      </c>
      <c r="C371" s="36" t="s">
        <v>3923</v>
      </c>
      <c r="D371" s="36" t="s">
        <v>4075</v>
      </c>
      <c r="E371" s="19" t="s">
        <v>4076</v>
      </c>
      <c r="F371" s="215" t="s">
        <v>298</v>
      </c>
      <c r="G371" s="215" t="s">
        <v>3185</v>
      </c>
      <c r="H371" s="36" t="s">
        <v>4077</v>
      </c>
      <c r="I371" s="19" t="s">
        <v>3220</v>
      </c>
      <c r="J371" s="36" t="s">
        <v>587</v>
      </c>
      <c r="K371" s="215"/>
      <c r="L371" s="215"/>
      <c r="M371" s="36" t="s">
        <v>587</v>
      </c>
      <c r="N371" s="19" t="s">
        <v>3318</v>
      </c>
      <c r="O371" s="6" t="s">
        <v>587</v>
      </c>
      <c r="P371" s="215" t="s">
        <v>3188</v>
      </c>
      <c r="Q371" s="41" t="n">
        <f aca="false">Calib!C110</f>
        <v>800</v>
      </c>
      <c r="R371" s="185" t="n">
        <f aca="false">SRC_PERF_029</f>
        <v>800</v>
      </c>
      <c r="S371" s="35" t="str">
        <f aca="false">IF(ISNUMBER($AF371),INDEX(IDX_SrcStat,$AF371),"—")</f>
        <v>Active</v>
      </c>
      <c r="T371" s="35" t="n">
        <f aca="false">IF(ISNUMBER($AF371),INDEX(IDX_SrcGrade,$AF371),"—")</f>
        <v>1</v>
      </c>
      <c r="U371" s="35" t="s">
        <v>3222</v>
      </c>
      <c r="V371" s="186" t="n">
        <f aca="false">IF(AND($F371="原始數據",$U371&lt;&gt;"連結 SRC"),1,0)</f>
        <v>0</v>
      </c>
      <c r="W371" s="186" t="n">
        <f aca="false">IF(AND($F371="Analogy",OR($H371="—",$H371="")),1,0)</f>
        <v>0</v>
      </c>
      <c r="X371" s="186" t="n">
        <f aca="false">IF(AND(OR($F371="Analogy",$F371="Assumed"),$G371&lt;&gt;"低",$G371&lt;&gt;"高",NOT(ISNUMBER($K371)),NOT(ISNUMBER($L371)),OR($M371="—",$M371="")),1,0)</f>
        <v>0</v>
      </c>
      <c r="Y371" s="186" t="n">
        <f aca="false">IF(AND(OR($F371="Analogy",$F371="Assumed",$F371="Derived（待改公式）",$F371="Derived（公式）"),OR($N371="—",$N371="",$N371=0)),1,0)</f>
        <v>0</v>
      </c>
      <c r="Z371" s="186" t="n">
        <f aca="false">IF(AND($F371="Decision",OR($J371="—",$J371="")),1,0)</f>
        <v>0</v>
      </c>
      <c r="AA371" s="183" t="n">
        <f aca="false">IF(OR($J371="—",$J371=""),0,IF(COUNTIF(Decisions!$A$5:$A$300,$J371)=0,1,0))</f>
        <v>0</v>
      </c>
      <c r="AB371" s="186" t="n">
        <f aca="false">IF(AND($F371="原始數據",$S371&lt;&gt;"Active"),1,0)</f>
        <v>0</v>
      </c>
      <c r="AC371" s="186" t="n">
        <f aca="false">IF(AND(ISNUMBER($K371),ISNUMBER($L371),ISNUMBER($Q371)),IF(OR($Q371&lt;MIN($K371,$L371),$Q371&gt;MAX($K371,$L371)),1,0),0)</f>
        <v>0</v>
      </c>
      <c r="AD371" s="186" t="n">
        <f aca="false">IF(AND(ISNUMBER($T371),$P371="高"),IF($T371=3,1,0),0)</f>
        <v>0</v>
      </c>
      <c r="AE371" s="186" t="n">
        <f aca="false">IF($S371="不存在",1,0)</f>
        <v>0</v>
      </c>
      <c r="AF371" s="35" t="n">
        <f aca="false">IF(OR($H371="—",$H371=""),"—",MATCH($H371,IDX_SrcID,0))</f>
        <v>317</v>
      </c>
      <c r="AG371" s="104" t="n">
        <f aca="false">IF(AND($P371="高",OR($AD371=1,$X371=1)),1,0)</f>
        <v>0</v>
      </c>
      <c r="AH371" s="104" t="n">
        <f aca="false">IF(AND($P371="高",$AG371=0,OR($F371&lt;&gt;"原始數據",$T371&lt;&gt;1)),1,0)</f>
        <v>0</v>
      </c>
      <c r="AI371" s="53" t="str">
        <f aca="false">IF(AND($P371="高",ISNUMBER($AF371)),INDEX(IDX_SrcDate,$AF371),"—")</f>
        <v>—</v>
      </c>
      <c r="AJ371" s="104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6" t="s">
        <v>4078</v>
      </c>
      <c r="B372" s="215" t="s">
        <v>3183</v>
      </c>
      <c r="C372" s="36" t="s">
        <v>3923</v>
      </c>
      <c r="D372" s="36" t="s">
        <v>4079</v>
      </c>
      <c r="E372" s="19" t="s">
        <v>4080</v>
      </c>
      <c r="F372" s="215" t="s">
        <v>298</v>
      </c>
      <c r="G372" s="215" t="s">
        <v>3185</v>
      </c>
      <c r="H372" s="36" t="s">
        <v>4081</v>
      </c>
      <c r="I372" s="19" t="s">
        <v>3220</v>
      </c>
      <c r="J372" s="36" t="s">
        <v>587</v>
      </c>
      <c r="K372" s="215"/>
      <c r="L372" s="215"/>
      <c r="M372" s="36" t="s">
        <v>587</v>
      </c>
      <c r="N372" s="19" t="s">
        <v>3318</v>
      </c>
      <c r="O372" s="6" t="s">
        <v>587</v>
      </c>
      <c r="P372" s="215" t="s">
        <v>3188</v>
      </c>
      <c r="Q372" s="41" t="n">
        <f aca="false">Calib!C111</f>
        <v>3880</v>
      </c>
      <c r="R372" s="185" t="n">
        <f aca="false">SRC_PERF_030</f>
        <v>3880</v>
      </c>
      <c r="S372" s="35" t="str">
        <f aca="false">IF(ISNUMBER($AF372),INDEX(IDX_SrcStat,$AF372),"—")</f>
        <v>Active</v>
      </c>
      <c r="T372" s="35" t="n">
        <f aca="false">IF(ISNUMBER($AF372),INDEX(IDX_SrcGrade,$AF372),"—")</f>
        <v>1</v>
      </c>
      <c r="U372" s="35" t="s">
        <v>3222</v>
      </c>
      <c r="V372" s="186" t="n">
        <f aca="false">IF(AND($F372="原始數據",$U372&lt;&gt;"連結 SRC"),1,0)</f>
        <v>0</v>
      </c>
      <c r="W372" s="186" t="n">
        <f aca="false">IF(AND($F372="Analogy",OR($H372="—",$H372="")),1,0)</f>
        <v>0</v>
      </c>
      <c r="X372" s="186" t="n">
        <f aca="false">IF(AND(OR($F372="Analogy",$F372="Assumed"),$G372&lt;&gt;"低",$G372&lt;&gt;"高",NOT(ISNUMBER($K372)),NOT(ISNUMBER($L372)),OR($M372="—",$M372="")),1,0)</f>
        <v>0</v>
      </c>
      <c r="Y372" s="186" t="n">
        <f aca="false">IF(AND(OR($F372="Analogy",$F372="Assumed",$F372="Derived（待改公式）",$F372="Derived（公式）"),OR($N372="—",$N372="",$N372=0)),1,0)</f>
        <v>0</v>
      </c>
      <c r="Z372" s="186" t="n">
        <f aca="false">IF(AND($F372="Decision",OR($J372="—",$J372="")),1,0)</f>
        <v>0</v>
      </c>
      <c r="AA372" s="183" t="n">
        <f aca="false">IF(OR($J372="—",$J372=""),0,IF(COUNTIF(Decisions!$A$5:$A$300,$J372)=0,1,0))</f>
        <v>0</v>
      </c>
      <c r="AB372" s="186" t="n">
        <f aca="false">IF(AND($F372="原始數據",$S372&lt;&gt;"Active"),1,0)</f>
        <v>0</v>
      </c>
      <c r="AC372" s="186" t="n">
        <f aca="false">IF(AND(ISNUMBER($K372),ISNUMBER($L372),ISNUMBER($Q372)),IF(OR($Q372&lt;MIN($K372,$L372),$Q372&gt;MAX($K372,$L372)),1,0),0)</f>
        <v>0</v>
      </c>
      <c r="AD372" s="186" t="n">
        <f aca="false">IF(AND(ISNUMBER($T372),$P372="高"),IF($T372=3,1,0),0)</f>
        <v>0</v>
      </c>
      <c r="AE372" s="186" t="n">
        <f aca="false">IF($S372="不存在",1,0)</f>
        <v>0</v>
      </c>
      <c r="AF372" s="35" t="n">
        <f aca="false">IF(OR($H372="—",$H372=""),"—",MATCH($H372,IDX_SrcID,0))</f>
        <v>318</v>
      </c>
      <c r="AG372" s="104" t="n">
        <f aca="false">IF(AND($P372="高",OR($AD372=1,$X372=1)),1,0)</f>
        <v>0</v>
      </c>
      <c r="AH372" s="104" t="n">
        <f aca="false">IF(AND($P372="高",$AG372=0,OR($F372&lt;&gt;"原始數據",$T372&lt;&gt;1)),1,0)</f>
        <v>0</v>
      </c>
      <c r="AI372" s="53" t="str">
        <f aca="false">IF(AND($P372="高",ISNUMBER($AF372)),INDEX(IDX_SrcDate,$AF372),"—")</f>
        <v>—</v>
      </c>
      <c r="AJ372" s="104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6" t="s">
        <v>4082</v>
      </c>
      <c r="B373" s="215" t="s">
        <v>3183</v>
      </c>
      <c r="C373" s="36" t="s">
        <v>3923</v>
      </c>
      <c r="D373" s="36" t="s">
        <v>4083</v>
      </c>
      <c r="E373" s="19" t="s">
        <v>419</v>
      </c>
      <c r="F373" s="215" t="s">
        <v>3929</v>
      </c>
      <c r="G373" s="215" t="s">
        <v>3930</v>
      </c>
      <c r="H373" s="36" t="s">
        <v>587</v>
      </c>
      <c r="I373" s="6" t="s">
        <v>587</v>
      </c>
      <c r="J373" s="36" t="s">
        <v>587</v>
      </c>
      <c r="K373" s="215"/>
      <c r="L373" s="215"/>
      <c r="M373" s="36" t="s">
        <v>587</v>
      </c>
      <c r="N373" s="6" t="s">
        <v>4084</v>
      </c>
      <c r="O373" s="6" t="s">
        <v>587</v>
      </c>
      <c r="P373" s="36" t="s">
        <v>587</v>
      </c>
      <c r="Q373" s="185" t="s">
        <v>587</v>
      </c>
      <c r="R373" s="36" t="s">
        <v>587</v>
      </c>
      <c r="S373" s="35" t="str">
        <f aca="false">IF(ISNUMBER($AF373),INDEX(IDX_SrcStat,$AF373),"—")</f>
        <v>—</v>
      </c>
      <c r="T373" s="35" t="str">
        <f aca="false">IF(ISNUMBER($AF373),INDEX(IDX_SrcGrade,$AF373),"—")</f>
        <v>—</v>
      </c>
      <c r="U373" s="36" t="s">
        <v>587</v>
      </c>
      <c r="V373" s="186" t="n">
        <f aca="false">IF(AND($F373="原始數據",$U373&lt;&gt;"連結 SRC"),1,0)</f>
        <v>0</v>
      </c>
      <c r="W373" s="186" t="n">
        <f aca="false">IF(AND($F373="Analogy",OR($H373="—",$H373="")),1,0)</f>
        <v>0</v>
      </c>
      <c r="X373" s="186" t="n">
        <f aca="false">IF(AND(OR($F373="Analogy",$F373="Assumed"),$G373&lt;&gt;"低",$G373&lt;&gt;"高",NOT(ISNUMBER($K373)),NOT(ISNUMBER($L373)),OR($M373="—",$M373="")),1,0)</f>
        <v>0</v>
      </c>
      <c r="Y373" s="186" t="n">
        <f aca="false">IF(AND(OR($F373="Analogy",$F373="Assumed",$F373="Derived（待改公式）",$F373="Derived（公式）"),OR($N373="—",$N373="",$N373=0)),1,0)</f>
        <v>0</v>
      </c>
      <c r="Z373" s="186" t="n">
        <f aca="false">IF(AND($F373="Decision",OR($J373="—",$J373="")),1,0)</f>
        <v>0</v>
      </c>
      <c r="AA373" s="183" t="n">
        <f aca="false">IF(OR($J373="—",$J373=""),0,IF(COUNTIF(Decisions!$A$5:$A$300,$J373)=0,1,0))</f>
        <v>0</v>
      </c>
      <c r="AB373" s="186" t="n">
        <f aca="false">IF(AND($F373="原始數據",$S373&lt;&gt;"Active"),1,0)</f>
        <v>0</v>
      </c>
      <c r="AC373" s="186" t="n">
        <f aca="false">IF(AND(ISNUMBER($K373),ISNUMBER($L373),ISNUMBER($Q373)),IF(OR($Q373&lt;MIN($K373,$L373),$Q373&gt;MAX($K373,$L373)),1,0),0)</f>
        <v>0</v>
      </c>
      <c r="AD373" s="186" t="n">
        <f aca="false">IF(AND(ISNUMBER($T373),$P373="高"),IF($T373=3,1,0),0)</f>
        <v>0</v>
      </c>
      <c r="AE373" s="186" t="n">
        <f aca="false">IF($S373="不存在",1,0)</f>
        <v>0</v>
      </c>
      <c r="AF373" s="35" t="str">
        <f aca="false">IF(OR($H373="—",$H373=""),"—",MATCH($H373,IDX_SrcID,0))</f>
        <v>—</v>
      </c>
      <c r="AG373" s="104" t="n">
        <f aca="false">IF(AND($P373="高",OR($AD373=1,$X373=1)),1,0)</f>
        <v>0</v>
      </c>
      <c r="AH373" s="104" t="n">
        <f aca="false">IF(AND($P373="高",$AG373=0,OR($F373&lt;&gt;"原始數據",$T373&lt;&gt;1)),1,0)</f>
        <v>0</v>
      </c>
      <c r="AI373" s="53" t="str">
        <f aca="false">IF(AND($P373="高",ISNUMBER($AF373)),INDEX(IDX_SrcDate,$AF373),"—")</f>
        <v>—</v>
      </c>
      <c r="AJ373" s="104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6" t="s">
        <v>4085</v>
      </c>
      <c r="B374" s="215" t="s">
        <v>3183</v>
      </c>
      <c r="C374" s="36" t="s">
        <v>3923</v>
      </c>
      <c r="D374" s="36" t="s">
        <v>4086</v>
      </c>
      <c r="E374" s="19" t="s">
        <v>4087</v>
      </c>
      <c r="F374" s="215" t="s">
        <v>298</v>
      </c>
      <c r="G374" s="215" t="s">
        <v>3185</v>
      </c>
      <c r="H374" s="36" t="s">
        <v>4088</v>
      </c>
      <c r="I374" s="19" t="s">
        <v>3519</v>
      </c>
      <c r="J374" s="36" t="s">
        <v>587</v>
      </c>
      <c r="K374" s="215"/>
      <c r="L374" s="215"/>
      <c r="M374" s="36" t="s">
        <v>587</v>
      </c>
      <c r="N374" s="19" t="s">
        <v>3318</v>
      </c>
      <c r="O374" s="6" t="s">
        <v>587</v>
      </c>
      <c r="P374" s="215" t="s">
        <v>3188</v>
      </c>
      <c r="Q374" s="178" t="n">
        <f aca="false">Calib!C118</f>
        <v>66.6666666666667</v>
      </c>
      <c r="R374" s="185" t="n">
        <f aca="false">SRC_PERF_031</f>
        <v>15</v>
      </c>
      <c r="S374" s="35" t="str">
        <f aca="false">IF(ISNUMBER($AF374),INDEX(IDX_SrcStat,$AF374),"—")</f>
        <v>Active</v>
      </c>
      <c r="T374" s="35" t="n">
        <f aca="false">IF(ISNUMBER($AF374),INDEX(IDX_SrcGrade,$AF374),"—")</f>
        <v>1</v>
      </c>
      <c r="U374" s="35" t="s">
        <v>3222</v>
      </c>
      <c r="V374" s="186" t="n">
        <f aca="false">IF(AND($F374="原始數據",$U374&lt;&gt;"連結 SRC"),1,0)</f>
        <v>0</v>
      </c>
      <c r="W374" s="186" t="n">
        <f aca="false">IF(AND($F374="Analogy",OR($H374="—",$H374="")),1,0)</f>
        <v>0</v>
      </c>
      <c r="X374" s="186" t="n">
        <f aca="false">IF(AND(OR($F374="Analogy",$F374="Assumed"),$G374&lt;&gt;"低",$G374&lt;&gt;"高",NOT(ISNUMBER($K374)),NOT(ISNUMBER($L374)),OR($M374="—",$M374="")),1,0)</f>
        <v>0</v>
      </c>
      <c r="Y374" s="186" t="n">
        <f aca="false">IF(AND(OR($F374="Analogy",$F374="Assumed",$F374="Derived（待改公式）",$F374="Derived（公式）"),OR($N374="—",$N374="",$N374=0)),1,0)</f>
        <v>0</v>
      </c>
      <c r="Z374" s="186" t="n">
        <f aca="false">IF(AND($F374="Decision",OR($J374="—",$J374="")),1,0)</f>
        <v>0</v>
      </c>
      <c r="AA374" s="183" t="n">
        <f aca="false">IF(OR($J374="—",$J374=""),0,IF(COUNTIF(Decisions!$A$5:$A$300,$J374)=0,1,0))</f>
        <v>0</v>
      </c>
      <c r="AB374" s="186" t="n">
        <f aca="false">IF(AND($F374="原始數據",$S374&lt;&gt;"Active"),1,0)</f>
        <v>0</v>
      </c>
      <c r="AC374" s="186" t="n">
        <f aca="false">IF(AND(ISNUMBER($K374),ISNUMBER($L374),ISNUMBER($Q374)),IF(OR($Q374&lt;MIN($K374,$L374),$Q374&gt;MAX($K374,$L374)),1,0),0)</f>
        <v>0</v>
      </c>
      <c r="AD374" s="186" t="n">
        <f aca="false">IF(AND(ISNUMBER($T374),$P374="高"),IF($T374=3,1,0),0)</f>
        <v>0</v>
      </c>
      <c r="AE374" s="186" t="n">
        <f aca="false">IF($S374="不存在",1,0)</f>
        <v>0</v>
      </c>
      <c r="AF374" s="35" t="n">
        <f aca="false">IF(OR($H374="—",$H374=""),"—",MATCH($H374,IDX_SrcID,0))</f>
        <v>319</v>
      </c>
      <c r="AG374" s="104" t="n">
        <f aca="false">IF(AND($P374="高",OR($AD374=1,$X374=1)),1,0)</f>
        <v>0</v>
      </c>
      <c r="AH374" s="104" t="n">
        <f aca="false">IF(AND($P374="高",$AG374=0,OR($F374&lt;&gt;"原始數據",$T374&lt;&gt;1)),1,0)</f>
        <v>0</v>
      </c>
      <c r="AI374" s="53" t="str">
        <f aca="false">IF(AND($P374="高",ISNUMBER($AF374)),INDEX(IDX_SrcDate,$AF374),"—")</f>
        <v>—</v>
      </c>
      <c r="AJ374" s="104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6" t="s">
        <v>4089</v>
      </c>
      <c r="B375" s="215" t="s">
        <v>3183</v>
      </c>
      <c r="C375" s="36" t="s">
        <v>3923</v>
      </c>
      <c r="D375" s="36" t="s">
        <v>4090</v>
      </c>
      <c r="E375" s="19" t="s">
        <v>4087</v>
      </c>
      <c r="F375" s="215" t="s">
        <v>298</v>
      </c>
      <c r="G375" s="215" t="s">
        <v>3185</v>
      </c>
      <c r="H375" s="36" t="s">
        <v>4088</v>
      </c>
      <c r="I375" s="19" t="s">
        <v>3519</v>
      </c>
      <c r="J375" s="36" t="s">
        <v>587</v>
      </c>
      <c r="K375" s="215"/>
      <c r="L375" s="215"/>
      <c r="M375" s="36" t="s">
        <v>587</v>
      </c>
      <c r="N375" s="19" t="s">
        <v>3318</v>
      </c>
      <c r="O375" s="6" t="s">
        <v>587</v>
      </c>
      <c r="P375" s="215" t="s">
        <v>3188</v>
      </c>
      <c r="Q375" s="178" t="n">
        <f aca="false">Calib!D118</f>
        <v>66.6666666666667</v>
      </c>
      <c r="R375" s="185" t="n">
        <f aca="false">SRC_PERF_031</f>
        <v>15</v>
      </c>
      <c r="S375" s="35" t="str">
        <f aca="false">IF(ISNUMBER($AF375),INDEX(IDX_SrcStat,$AF375),"—")</f>
        <v>Active</v>
      </c>
      <c r="T375" s="35" t="n">
        <f aca="false">IF(ISNUMBER($AF375),INDEX(IDX_SrcGrade,$AF375),"—")</f>
        <v>1</v>
      </c>
      <c r="U375" s="35" t="s">
        <v>3222</v>
      </c>
      <c r="V375" s="186" t="n">
        <f aca="false">IF(AND($F375="原始數據",$U375&lt;&gt;"連結 SRC"),1,0)</f>
        <v>0</v>
      </c>
      <c r="W375" s="186" t="n">
        <f aca="false">IF(AND($F375="Analogy",OR($H375="—",$H375="")),1,0)</f>
        <v>0</v>
      </c>
      <c r="X375" s="186" t="n">
        <f aca="false">IF(AND(OR($F375="Analogy",$F375="Assumed"),$G375&lt;&gt;"低",$G375&lt;&gt;"高",NOT(ISNUMBER($K375)),NOT(ISNUMBER($L375)),OR($M375="—",$M375="")),1,0)</f>
        <v>0</v>
      </c>
      <c r="Y375" s="186" t="n">
        <f aca="false">IF(AND(OR($F375="Analogy",$F375="Assumed",$F375="Derived（待改公式）",$F375="Derived（公式）"),OR($N375="—",$N375="",$N375=0)),1,0)</f>
        <v>0</v>
      </c>
      <c r="Z375" s="186" t="n">
        <f aca="false">IF(AND($F375="Decision",OR($J375="—",$J375="")),1,0)</f>
        <v>0</v>
      </c>
      <c r="AA375" s="183" t="n">
        <f aca="false">IF(OR($J375="—",$J375=""),0,IF(COUNTIF(Decisions!$A$5:$A$300,$J375)=0,1,0))</f>
        <v>0</v>
      </c>
      <c r="AB375" s="186" t="n">
        <f aca="false">IF(AND($F375="原始數據",$S375&lt;&gt;"Active"),1,0)</f>
        <v>0</v>
      </c>
      <c r="AC375" s="186" t="n">
        <f aca="false">IF(AND(ISNUMBER($K375),ISNUMBER($L375),ISNUMBER($Q375)),IF(OR($Q375&lt;MIN($K375,$L375),$Q375&gt;MAX($K375,$L375)),1,0),0)</f>
        <v>0</v>
      </c>
      <c r="AD375" s="186" t="n">
        <f aca="false">IF(AND(ISNUMBER($T375),$P375="高"),IF($T375=3,1,0),0)</f>
        <v>0</v>
      </c>
      <c r="AE375" s="186" t="n">
        <f aca="false">IF($S375="不存在",1,0)</f>
        <v>0</v>
      </c>
      <c r="AF375" s="35" t="n">
        <f aca="false">IF(OR($H375="—",$H375=""),"—",MATCH($H375,IDX_SrcID,0))</f>
        <v>319</v>
      </c>
      <c r="AG375" s="104" t="n">
        <f aca="false">IF(AND($P375="高",OR($AD375=1,$X375=1)),1,0)</f>
        <v>0</v>
      </c>
      <c r="AH375" s="104" t="n">
        <f aca="false">IF(AND($P375="高",$AG375=0,OR($F375&lt;&gt;"原始數據",$T375&lt;&gt;1)),1,0)</f>
        <v>0</v>
      </c>
      <c r="AI375" s="53" t="str">
        <f aca="false">IF(AND($P375="高",ISNUMBER($AF375)),INDEX(IDX_SrcDate,$AF375),"—")</f>
        <v>—</v>
      </c>
      <c r="AJ375" s="104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6" t="s">
        <v>4091</v>
      </c>
      <c r="B376" s="215" t="s">
        <v>3183</v>
      </c>
      <c r="C376" s="36" t="s">
        <v>3923</v>
      </c>
      <c r="D376" s="36" t="s">
        <v>4092</v>
      </c>
      <c r="E376" s="19" t="s">
        <v>4087</v>
      </c>
      <c r="F376" s="215" t="s">
        <v>298</v>
      </c>
      <c r="G376" s="215" t="s">
        <v>3185</v>
      </c>
      <c r="H376" s="36" t="s">
        <v>4088</v>
      </c>
      <c r="I376" s="19" t="s">
        <v>3519</v>
      </c>
      <c r="J376" s="36" t="s">
        <v>587</v>
      </c>
      <c r="K376" s="215"/>
      <c r="L376" s="215"/>
      <c r="M376" s="36" t="s">
        <v>587</v>
      </c>
      <c r="N376" s="19" t="s">
        <v>3318</v>
      </c>
      <c r="O376" s="6" t="s">
        <v>587</v>
      </c>
      <c r="P376" s="215" t="s">
        <v>3188</v>
      </c>
      <c r="Q376" s="178" t="n">
        <f aca="false">Calib!E118</f>
        <v>66.6666666666667</v>
      </c>
      <c r="R376" s="185" t="n">
        <f aca="false">SRC_PERF_031</f>
        <v>15</v>
      </c>
      <c r="S376" s="35" t="str">
        <f aca="false">IF(ISNUMBER($AF376),INDEX(IDX_SrcStat,$AF376),"—")</f>
        <v>Active</v>
      </c>
      <c r="T376" s="35" t="n">
        <f aca="false">IF(ISNUMBER($AF376),INDEX(IDX_SrcGrade,$AF376),"—")</f>
        <v>1</v>
      </c>
      <c r="U376" s="35" t="s">
        <v>3222</v>
      </c>
      <c r="V376" s="186" t="n">
        <f aca="false">IF(AND($F376="原始數據",$U376&lt;&gt;"連結 SRC"),1,0)</f>
        <v>0</v>
      </c>
      <c r="W376" s="186" t="n">
        <f aca="false">IF(AND($F376="Analogy",OR($H376="—",$H376="")),1,0)</f>
        <v>0</v>
      </c>
      <c r="X376" s="186" t="n">
        <f aca="false">IF(AND(OR($F376="Analogy",$F376="Assumed"),$G376&lt;&gt;"低",$G376&lt;&gt;"高",NOT(ISNUMBER($K376)),NOT(ISNUMBER($L376)),OR($M376="—",$M376="")),1,0)</f>
        <v>0</v>
      </c>
      <c r="Y376" s="186" t="n">
        <f aca="false">IF(AND(OR($F376="Analogy",$F376="Assumed",$F376="Derived（待改公式）",$F376="Derived（公式）"),OR($N376="—",$N376="",$N376=0)),1,0)</f>
        <v>0</v>
      </c>
      <c r="Z376" s="186" t="n">
        <f aca="false">IF(AND($F376="Decision",OR($J376="—",$J376="")),1,0)</f>
        <v>0</v>
      </c>
      <c r="AA376" s="183" t="n">
        <f aca="false">IF(OR($J376="—",$J376=""),0,IF(COUNTIF(Decisions!$A$5:$A$300,$J376)=0,1,0))</f>
        <v>0</v>
      </c>
      <c r="AB376" s="186" t="n">
        <f aca="false">IF(AND($F376="原始數據",$S376&lt;&gt;"Active"),1,0)</f>
        <v>0</v>
      </c>
      <c r="AC376" s="186" t="n">
        <f aca="false">IF(AND(ISNUMBER($K376),ISNUMBER($L376),ISNUMBER($Q376)),IF(OR($Q376&lt;MIN($K376,$L376),$Q376&gt;MAX($K376,$L376)),1,0),0)</f>
        <v>0</v>
      </c>
      <c r="AD376" s="186" t="n">
        <f aca="false">IF(AND(ISNUMBER($T376),$P376="高"),IF($T376=3,1,0),0)</f>
        <v>0</v>
      </c>
      <c r="AE376" s="186" t="n">
        <f aca="false">IF($S376="不存在",1,0)</f>
        <v>0</v>
      </c>
      <c r="AF376" s="35" t="n">
        <f aca="false">IF(OR($H376="—",$H376=""),"—",MATCH($H376,IDX_SrcID,0))</f>
        <v>319</v>
      </c>
      <c r="AG376" s="104" t="n">
        <f aca="false">IF(AND($P376="高",OR($AD376=1,$X376=1)),1,0)</f>
        <v>0</v>
      </c>
      <c r="AH376" s="104" t="n">
        <f aca="false">IF(AND($P376="高",$AG376=0,OR($F376&lt;&gt;"原始數據",$T376&lt;&gt;1)),1,0)</f>
        <v>0</v>
      </c>
      <c r="AI376" s="53" t="str">
        <f aca="false">IF(AND($P376="高",ISNUMBER($AF376)),INDEX(IDX_SrcDate,$AF376),"—")</f>
        <v>—</v>
      </c>
      <c r="AJ376" s="104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6" t="s">
        <v>4093</v>
      </c>
      <c r="B377" s="215" t="s">
        <v>3183</v>
      </c>
      <c r="C377" s="36" t="s">
        <v>3923</v>
      </c>
      <c r="D377" s="36" t="s">
        <v>4094</v>
      </c>
      <c r="E377" s="19" t="s">
        <v>4087</v>
      </c>
      <c r="F377" s="215" t="s">
        <v>298</v>
      </c>
      <c r="G377" s="215" t="s">
        <v>3185</v>
      </c>
      <c r="H377" s="36" t="s">
        <v>4095</v>
      </c>
      <c r="I377" s="19" t="s">
        <v>3519</v>
      </c>
      <c r="J377" s="36" t="s">
        <v>587</v>
      </c>
      <c r="K377" s="215"/>
      <c r="L377" s="215"/>
      <c r="M377" s="36" t="s">
        <v>587</v>
      </c>
      <c r="N377" s="19" t="s">
        <v>3318</v>
      </c>
      <c r="O377" s="6" t="s">
        <v>587</v>
      </c>
      <c r="P377" s="215" t="s">
        <v>3188</v>
      </c>
      <c r="Q377" s="178" t="n">
        <f aca="false">Calib!F118</f>
        <v>12.5</v>
      </c>
      <c r="R377" s="185" t="n">
        <f aca="false">SRC_PERF_032</f>
        <v>80</v>
      </c>
      <c r="S377" s="35" t="str">
        <f aca="false">IF(ISNUMBER($AF377),INDEX(IDX_SrcStat,$AF377),"—")</f>
        <v>Active</v>
      </c>
      <c r="T377" s="35" t="n">
        <f aca="false">IF(ISNUMBER($AF377),INDEX(IDX_SrcGrade,$AF377),"—")</f>
        <v>1</v>
      </c>
      <c r="U377" s="35" t="s">
        <v>3222</v>
      </c>
      <c r="V377" s="186" t="n">
        <f aca="false">IF(AND($F377="原始數據",$U377&lt;&gt;"連結 SRC"),1,0)</f>
        <v>0</v>
      </c>
      <c r="W377" s="186" t="n">
        <f aca="false">IF(AND($F377="Analogy",OR($H377="—",$H377="")),1,0)</f>
        <v>0</v>
      </c>
      <c r="X377" s="186" t="n">
        <f aca="false">IF(AND(OR($F377="Analogy",$F377="Assumed"),$G377&lt;&gt;"低",$G377&lt;&gt;"高",NOT(ISNUMBER($K377)),NOT(ISNUMBER($L377)),OR($M377="—",$M377="")),1,0)</f>
        <v>0</v>
      </c>
      <c r="Y377" s="186" t="n">
        <f aca="false">IF(AND(OR($F377="Analogy",$F377="Assumed",$F377="Derived（待改公式）",$F377="Derived（公式）"),OR($N377="—",$N377="",$N377=0)),1,0)</f>
        <v>0</v>
      </c>
      <c r="Z377" s="186" t="n">
        <f aca="false">IF(AND($F377="Decision",OR($J377="—",$J377="")),1,0)</f>
        <v>0</v>
      </c>
      <c r="AA377" s="183" t="n">
        <f aca="false">IF(OR($J377="—",$J377=""),0,IF(COUNTIF(Decisions!$A$5:$A$300,$J377)=0,1,0))</f>
        <v>0</v>
      </c>
      <c r="AB377" s="186" t="n">
        <f aca="false">IF(AND($F377="原始數據",$S377&lt;&gt;"Active"),1,0)</f>
        <v>0</v>
      </c>
      <c r="AC377" s="186" t="n">
        <f aca="false">IF(AND(ISNUMBER($K377),ISNUMBER($L377),ISNUMBER($Q377)),IF(OR($Q377&lt;MIN($K377,$L377),$Q377&gt;MAX($K377,$L377)),1,0),0)</f>
        <v>0</v>
      </c>
      <c r="AD377" s="186" t="n">
        <f aca="false">IF(AND(ISNUMBER($T377),$P377="高"),IF($T377=3,1,0),0)</f>
        <v>0</v>
      </c>
      <c r="AE377" s="186" t="n">
        <f aca="false">IF($S377="不存在",1,0)</f>
        <v>0</v>
      </c>
      <c r="AF377" s="35" t="n">
        <f aca="false">IF(OR($H377="—",$H377=""),"—",MATCH($H377,IDX_SrcID,0))</f>
        <v>320</v>
      </c>
      <c r="AG377" s="104" t="n">
        <f aca="false">IF(AND($P377="高",OR($AD377=1,$X377=1)),1,0)</f>
        <v>0</v>
      </c>
      <c r="AH377" s="104" t="n">
        <f aca="false">IF(AND($P377="高",$AG377=0,OR($F377&lt;&gt;"原始數據",$T377&lt;&gt;1)),1,0)</f>
        <v>0</v>
      </c>
      <c r="AI377" s="53" t="str">
        <f aca="false">IF(AND($P377="高",ISNUMBER($AF377)),INDEX(IDX_SrcDate,$AF377),"—")</f>
        <v>—</v>
      </c>
      <c r="AJ377" s="104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6" t="s">
        <v>4096</v>
      </c>
      <c r="B378" s="215" t="s">
        <v>3183</v>
      </c>
      <c r="C378" s="36" t="s">
        <v>3923</v>
      </c>
      <c r="D378" s="36" t="s">
        <v>4097</v>
      </c>
      <c r="E378" s="19" t="s">
        <v>4098</v>
      </c>
      <c r="F378" s="215" t="s">
        <v>3370</v>
      </c>
      <c r="G378" s="215" t="s">
        <v>3185</v>
      </c>
      <c r="H378" s="36" t="s">
        <v>3773</v>
      </c>
      <c r="I378" s="19" t="s">
        <v>4099</v>
      </c>
      <c r="J378" s="36" t="s">
        <v>587</v>
      </c>
      <c r="K378" s="215"/>
      <c r="L378" s="215"/>
      <c r="M378" s="36" t="s">
        <v>587</v>
      </c>
      <c r="N378" s="19" t="s">
        <v>4100</v>
      </c>
      <c r="O378" s="6" t="s">
        <v>587</v>
      </c>
      <c r="P378" s="215" t="s">
        <v>3188</v>
      </c>
      <c r="Q378" s="183" t="n">
        <f aca="false">Calib!C119</f>
        <v>1</v>
      </c>
      <c r="R378" s="185" t="n">
        <f aca="false">SRC_PERF_035</f>
        <v>3</v>
      </c>
      <c r="S378" s="35" t="str">
        <f aca="false">IF(ISNUMBER($AF378),INDEX(IDX_SrcStat,$AF378),"—")</f>
        <v>Active</v>
      </c>
      <c r="T378" s="35" t="n">
        <f aca="false">IF(ISNUMBER($AF378),INDEX(IDX_SrcGrade,$AF378),"—")</f>
        <v>1</v>
      </c>
      <c r="U378" s="35" t="s">
        <v>3189</v>
      </c>
      <c r="V378" s="186" t="n">
        <f aca="false">IF(AND($F378="原始數據",$U378&lt;&gt;"連結 SRC"),1,0)</f>
        <v>0</v>
      </c>
      <c r="W378" s="186" t="n">
        <f aca="false">IF(AND($F378="Analogy",OR($H378="—",$H378="")),1,0)</f>
        <v>0</v>
      </c>
      <c r="X378" s="186" t="n">
        <f aca="false">IF(AND(OR($F378="Analogy",$F378="Assumed"),$G378&lt;&gt;"低",$G378&lt;&gt;"高",NOT(ISNUMBER($K378)),NOT(ISNUMBER($L378)),OR($M378="—",$M378="")),1,0)</f>
        <v>0</v>
      </c>
      <c r="Y378" s="186" t="n">
        <f aca="false">IF(AND(OR($F378="Analogy",$F378="Assumed",$F378="Derived（待改公式）",$F378="Derived（公式）"),OR($N378="—",$N378="",$N378=0)),1,0)</f>
        <v>0</v>
      </c>
      <c r="Z378" s="186" t="n">
        <f aca="false">IF(AND($F378="Decision",OR($J378="—",$J378="")),1,0)</f>
        <v>0</v>
      </c>
      <c r="AA378" s="183" t="n">
        <f aca="false">IF(OR($J378="—",$J378=""),0,IF(COUNTIF(Decisions!$A$5:$A$300,$J378)=0,1,0))</f>
        <v>0</v>
      </c>
      <c r="AB378" s="186" t="n">
        <f aca="false">IF(AND($F378="原始數據",$S378&lt;&gt;"Active"),1,0)</f>
        <v>0</v>
      </c>
      <c r="AC378" s="186" t="n">
        <f aca="false">IF(AND(ISNUMBER($K378),ISNUMBER($L378),ISNUMBER($Q378)),IF(OR($Q378&lt;MIN($K378,$L378),$Q378&gt;MAX($K378,$L378)),1,0),0)</f>
        <v>0</v>
      </c>
      <c r="AD378" s="186" t="n">
        <f aca="false">IF(AND(ISNUMBER($T378),$P378="高"),IF($T378=3,1,0),0)</f>
        <v>0</v>
      </c>
      <c r="AE378" s="186" t="n">
        <f aca="false">IF($S378="不存在",1,0)</f>
        <v>0</v>
      </c>
      <c r="AF378" s="35" t="n">
        <f aca="false">IF(OR($H378="—",$H378=""),"—",MATCH($H378,IDX_SrcID,0))</f>
        <v>323</v>
      </c>
      <c r="AG378" s="104" t="n">
        <f aca="false">IF(AND($P378="高",OR($AD378=1,$X378=1)),1,0)</f>
        <v>0</v>
      </c>
      <c r="AH378" s="104" t="n">
        <f aca="false">IF(AND($P378="高",$AG378=0,OR($F378&lt;&gt;"原始數據",$T378&lt;&gt;1)),1,0)</f>
        <v>0</v>
      </c>
      <c r="AI378" s="53" t="str">
        <f aca="false">IF(AND($P378="高",ISNUMBER($AF378)),INDEX(IDX_SrcDate,$AF378),"—")</f>
        <v>—</v>
      </c>
      <c r="AJ378" s="104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6" t="s">
        <v>4101</v>
      </c>
      <c r="B379" s="215" t="s">
        <v>3183</v>
      </c>
      <c r="C379" s="36" t="s">
        <v>3923</v>
      </c>
      <c r="D379" s="36" t="s">
        <v>4102</v>
      </c>
      <c r="E379" s="19" t="s">
        <v>4098</v>
      </c>
      <c r="F379" s="215" t="s">
        <v>3370</v>
      </c>
      <c r="G379" s="215" t="s">
        <v>3185</v>
      </c>
      <c r="H379" s="36" t="s">
        <v>3773</v>
      </c>
      <c r="I379" s="19" t="s">
        <v>4099</v>
      </c>
      <c r="J379" s="36" t="s">
        <v>587</v>
      </c>
      <c r="K379" s="215"/>
      <c r="L379" s="215"/>
      <c r="M379" s="36" t="s">
        <v>587</v>
      </c>
      <c r="N379" s="19" t="s">
        <v>4100</v>
      </c>
      <c r="O379" s="6" t="s">
        <v>587</v>
      </c>
      <c r="P379" s="215" t="s">
        <v>3188</v>
      </c>
      <c r="Q379" s="183" t="n">
        <f aca="false">Calib!D119</f>
        <v>1</v>
      </c>
      <c r="R379" s="185" t="n">
        <f aca="false">SRC_PERF_035</f>
        <v>3</v>
      </c>
      <c r="S379" s="35" t="str">
        <f aca="false">IF(ISNUMBER($AF379),INDEX(IDX_SrcStat,$AF379),"—")</f>
        <v>Active</v>
      </c>
      <c r="T379" s="35" t="n">
        <f aca="false">IF(ISNUMBER($AF379),INDEX(IDX_SrcGrade,$AF379),"—")</f>
        <v>1</v>
      </c>
      <c r="U379" s="35" t="s">
        <v>3189</v>
      </c>
      <c r="V379" s="186" t="n">
        <f aca="false">IF(AND($F379="原始數據",$U379&lt;&gt;"連結 SRC"),1,0)</f>
        <v>0</v>
      </c>
      <c r="W379" s="186" t="n">
        <f aca="false">IF(AND($F379="Analogy",OR($H379="—",$H379="")),1,0)</f>
        <v>0</v>
      </c>
      <c r="X379" s="186" t="n">
        <f aca="false">IF(AND(OR($F379="Analogy",$F379="Assumed"),$G379&lt;&gt;"低",$G379&lt;&gt;"高",NOT(ISNUMBER($K379)),NOT(ISNUMBER($L379)),OR($M379="—",$M379="")),1,0)</f>
        <v>0</v>
      </c>
      <c r="Y379" s="186" t="n">
        <f aca="false">IF(AND(OR($F379="Analogy",$F379="Assumed",$F379="Derived（待改公式）",$F379="Derived（公式）"),OR($N379="—",$N379="",$N379=0)),1,0)</f>
        <v>0</v>
      </c>
      <c r="Z379" s="186" t="n">
        <f aca="false">IF(AND($F379="Decision",OR($J379="—",$J379="")),1,0)</f>
        <v>0</v>
      </c>
      <c r="AA379" s="183" t="n">
        <f aca="false">IF(OR($J379="—",$J379=""),0,IF(COUNTIF(Decisions!$A$5:$A$300,$J379)=0,1,0))</f>
        <v>0</v>
      </c>
      <c r="AB379" s="186" t="n">
        <f aca="false">IF(AND($F379="原始數據",$S379&lt;&gt;"Active"),1,0)</f>
        <v>0</v>
      </c>
      <c r="AC379" s="186" t="n">
        <f aca="false">IF(AND(ISNUMBER($K379),ISNUMBER($L379),ISNUMBER($Q379)),IF(OR($Q379&lt;MIN($K379,$L379),$Q379&gt;MAX($K379,$L379)),1,0),0)</f>
        <v>0</v>
      </c>
      <c r="AD379" s="186" t="n">
        <f aca="false">IF(AND(ISNUMBER($T379),$P379="高"),IF($T379=3,1,0),0)</f>
        <v>0</v>
      </c>
      <c r="AE379" s="186" t="n">
        <f aca="false">IF($S379="不存在",1,0)</f>
        <v>0</v>
      </c>
      <c r="AF379" s="35" t="n">
        <f aca="false">IF(OR($H379="—",$H379=""),"—",MATCH($H379,IDX_SrcID,0))</f>
        <v>323</v>
      </c>
      <c r="AG379" s="104" t="n">
        <f aca="false">IF(AND($P379="高",OR($AD379=1,$X379=1)),1,0)</f>
        <v>0</v>
      </c>
      <c r="AH379" s="104" t="n">
        <f aca="false">IF(AND($P379="高",$AG379=0,OR($F379&lt;&gt;"原始數據",$T379&lt;&gt;1)),1,0)</f>
        <v>0</v>
      </c>
      <c r="AI379" s="53" t="str">
        <f aca="false">IF(AND($P379="高",ISNUMBER($AF379)),INDEX(IDX_SrcDate,$AF379),"—")</f>
        <v>—</v>
      </c>
      <c r="AJ379" s="104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6" t="s">
        <v>4103</v>
      </c>
      <c r="B380" s="215" t="s">
        <v>3183</v>
      </c>
      <c r="C380" s="36" t="s">
        <v>3923</v>
      </c>
      <c r="D380" s="36" t="s">
        <v>4104</v>
      </c>
      <c r="E380" s="19" t="s">
        <v>4098</v>
      </c>
      <c r="F380" s="215" t="s">
        <v>3370</v>
      </c>
      <c r="G380" s="215" t="s">
        <v>3185</v>
      </c>
      <c r="H380" s="36" t="s">
        <v>3773</v>
      </c>
      <c r="I380" s="19" t="s">
        <v>4099</v>
      </c>
      <c r="J380" s="36" t="s">
        <v>587</v>
      </c>
      <c r="K380" s="215"/>
      <c r="L380" s="215"/>
      <c r="M380" s="36" t="s">
        <v>587</v>
      </c>
      <c r="N380" s="19" t="s">
        <v>4100</v>
      </c>
      <c r="O380" s="6" t="s">
        <v>587</v>
      </c>
      <c r="P380" s="215" t="s">
        <v>3188</v>
      </c>
      <c r="Q380" s="183" t="n">
        <f aca="false">Calib!E119</f>
        <v>1</v>
      </c>
      <c r="R380" s="185" t="n">
        <f aca="false">SRC_PERF_035</f>
        <v>3</v>
      </c>
      <c r="S380" s="35" t="str">
        <f aca="false">IF(ISNUMBER($AF380),INDEX(IDX_SrcStat,$AF380),"—")</f>
        <v>Active</v>
      </c>
      <c r="T380" s="35" t="n">
        <f aca="false">IF(ISNUMBER($AF380),INDEX(IDX_SrcGrade,$AF380),"—")</f>
        <v>1</v>
      </c>
      <c r="U380" s="35" t="s">
        <v>3189</v>
      </c>
      <c r="V380" s="186" t="n">
        <f aca="false">IF(AND($F380="原始數據",$U380&lt;&gt;"連結 SRC"),1,0)</f>
        <v>0</v>
      </c>
      <c r="W380" s="186" t="n">
        <f aca="false">IF(AND($F380="Analogy",OR($H380="—",$H380="")),1,0)</f>
        <v>0</v>
      </c>
      <c r="X380" s="186" t="n">
        <f aca="false">IF(AND(OR($F380="Analogy",$F380="Assumed"),$G380&lt;&gt;"低",$G380&lt;&gt;"高",NOT(ISNUMBER($K380)),NOT(ISNUMBER($L380)),OR($M380="—",$M380="")),1,0)</f>
        <v>0</v>
      </c>
      <c r="Y380" s="186" t="n">
        <f aca="false">IF(AND(OR($F380="Analogy",$F380="Assumed",$F380="Derived（待改公式）",$F380="Derived（公式）"),OR($N380="—",$N380="",$N380=0)),1,0)</f>
        <v>0</v>
      </c>
      <c r="Z380" s="186" t="n">
        <f aca="false">IF(AND($F380="Decision",OR($J380="—",$J380="")),1,0)</f>
        <v>0</v>
      </c>
      <c r="AA380" s="183" t="n">
        <f aca="false">IF(OR($J380="—",$J380=""),0,IF(COUNTIF(Decisions!$A$5:$A$300,$J380)=0,1,0))</f>
        <v>0</v>
      </c>
      <c r="AB380" s="186" t="n">
        <f aca="false">IF(AND($F380="原始數據",$S380&lt;&gt;"Active"),1,0)</f>
        <v>0</v>
      </c>
      <c r="AC380" s="186" t="n">
        <f aca="false">IF(AND(ISNUMBER($K380),ISNUMBER($L380),ISNUMBER($Q380)),IF(OR($Q380&lt;MIN($K380,$L380),$Q380&gt;MAX($K380,$L380)),1,0),0)</f>
        <v>0</v>
      </c>
      <c r="AD380" s="186" t="n">
        <f aca="false">IF(AND(ISNUMBER($T380),$P380="高"),IF($T380=3,1,0),0)</f>
        <v>0</v>
      </c>
      <c r="AE380" s="186" t="n">
        <f aca="false">IF($S380="不存在",1,0)</f>
        <v>0</v>
      </c>
      <c r="AF380" s="35" t="n">
        <f aca="false">IF(OR($H380="—",$H380=""),"—",MATCH($H380,IDX_SrcID,0))</f>
        <v>323</v>
      </c>
      <c r="AG380" s="104" t="n">
        <f aca="false">IF(AND($P380="高",OR($AD380=1,$X380=1)),1,0)</f>
        <v>0</v>
      </c>
      <c r="AH380" s="104" t="n">
        <f aca="false">IF(AND($P380="高",$AG380=0,OR($F380&lt;&gt;"原始數據",$T380&lt;&gt;1)),1,0)</f>
        <v>0</v>
      </c>
      <c r="AI380" s="53" t="str">
        <f aca="false">IF(AND($P380="高",ISNUMBER($AF380)),INDEX(IDX_SrcDate,$AF380),"—")</f>
        <v>—</v>
      </c>
      <c r="AJ380" s="104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6" t="s">
        <v>4105</v>
      </c>
      <c r="B381" s="215" t="s">
        <v>3183</v>
      </c>
      <c r="C381" s="36" t="s">
        <v>3923</v>
      </c>
      <c r="D381" s="36" t="s">
        <v>4106</v>
      </c>
      <c r="E381" s="19" t="s">
        <v>4098</v>
      </c>
      <c r="F381" s="215" t="s">
        <v>3370</v>
      </c>
      <c r="G381" s="215" t="s">
        <v>3185</v>
      </c>
      <c r="H381" s="36" t="s">
        <v>3773</v>
      </c>
      <c r="I381" s="19" t="s">
        <v>4107</v>
      </c>
      <c r="J381" s="36" t="s">
        <v>587</v>
      </c>
      <c r="K381" s="215"/>
      <c r="L381" s="215"/>
      <c r="M381" s="36" t="s">
        <v>587</v>
      </c>
      <c r="N381" s="19" t="s">
        <v>4108</v>
      </c>
      <c r="O381" s="6" t="s">
        <v>587</v>
      </c>
      <c r="P381" s="215" t="s">
        <v>3188</v>
      </c>
      <c r="Q381" s="183" t="n">
        <f aca="false">Calib!F119</f>
        <v>0</v>
      </c>
      <c r="R381" s="185" t="n">
        <f aca="false">SRC_PERF_035</f>
        <v>3</v>
      </c>
      <c r="S381" s="35" t="str">
        <f aca="false">IF(ISNUMBER($AF381),INDEX(IDX_SrcStat,$AF381),"—")</f>
        <v>Active</v>
      </c>
      <c r="T381" s="35" t="n">
        <f aca="false">IF(ISNUMBER($AF381),INDEX(IDX_SrcGrade,$AF381),"—")</f>
        <v>1</v>
      </c>
      <c r="U381" s="35" t="s">
        <v>3189</v>
      </c>
      <c r="V381" s="186" t="n">
        <f aca="false">IF(AND($F381="原始數據",$U381&lt;&gt;"連結 SRC"),1,0)</f>
        <v>0</v>
      </c>
      <c r="W381" s="186" t="n">
        <f aca="false">IF(AND($F381="Analogy",OR($H381="—",$H381="")),1,0)</f>
        <v>0</v>
      </c>
      <c r="X381" s="186" t="n">
        <f aca="false">IF(AND(OR($F381="Analogy",$F381="Assumed"),$G381&lt;&gt;"低",$G381&lt;&gt;"高",NOT(ISNUMBER($K381)),NOT(ISNUMBER($L381)),OR($M381="—",$M381="")),1,0)</f>
        <v>0</v>
      </c>
      <c r="Y381" s="186" t="n">
        <f aca="false">IF(AND(OR($F381="Analogy",$F381="Assumed",$F381="Derived（待改公式）",$F381="Derived（公式）"),OR($N381="—",$N381="",$N381=0)),1,0)</f>
        <v>0</v>
      </c>
      <c r="Z381" s="186" t="n">
        <f aca="false">IF(AND($F381="Decision",OR($J381="—",$J381="")),1,0)</f>
        <v>0</v>
      </c>
      <c r="AA381" s="183" t="n">
        <f aca="false">IF(OR($J381="—",$J381=""),0,IF(COUNTIF(Decisions!$A$5:$A$300,$J381)=0,1,0))</f>
        <v>0</v>
      </c>
      <c r="AB381" s="186" t="n">
        <f aca="false">IF(AND($F381="原始數據",$S381&lt;&gt;"Active"),1,0)</f>
        <v>0</v>
      </c>
      <c r="AC381" s="186" t="n">
        <f aca="false">IF(AND(ISNUMBER($K381),ISNUMBER($L381),ISNUMBER($Q381)),IF(OR($Q381&lt;MIN($K381,$L381),$Q381&gt;MAX($K381,$L381)),1,0),0)</f>
        <v>0</v>
      </c>
      <c r="AD381" s="186" t="n">
        <f aca="false">IF(AND(ISNUMBER($T381),$P381="高"),IF($T381=3,1,0),0)</f>
        <v>0</v>
      </c>
      <c r="AE381" s="186" t="n">
        <f aca="false">IF($S381="不存在",1,0)</f>
        <v>0</v>
      </c>
      <c r="AF381" s="35" t="n">
        <f aca="false">IF(OR($H381="—",$H381=""),"—",MATCH($H381,IDX_SrcID,0))</f>
        <v>323</v>
      </c>
      <c r="AG381" s="104" t="n">
        <f aca="false">IF(AND($P381="高",OR($AD381=1,$X381=1)),1,0)</f>
        <v>0</v>
      </c>
      <c r="AH381" s="104" t="n">
        <f aca="false">IF(AND($P381="高",$AG381=0,OR($F381&lt;&gt;"原始數據",$T381&lt;&gt;1)),1,0)</f>
        <v>0</v>
      </c>
      <c r="AI381" s="53" t="str">
        <f aca="false">IF(AND($P381="高",ISNUMBER($AF381)),INDEX(IDX_SrcDate,$AF381),"—")</f>
        <v>—</v>
      </c>
      <c r="AJ381" s="104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6" t="s">
        <v>4109</v>
      </c>
      <c r="B382" s="215" t="s">
        <v>3183</v>
      </c>
      <c r="C382" s="36" t="s">
        <v>3923</v>
      </c>
      <c r="D382" s="36" t="s">
        <v>4110</v>
      </c>
      <c r="E382" s="6" t="s">
        <v>538</v>
      </c>
      <c r="F382" s="215" t="s">
        <v>298</v>
      </c>
      <c r="G382" s="215" t="s">
        <v>3185</v>
      </c>
      <c r="H382" s="36" t="s">
        <v>4111</v>
      </c>
      <c r="I382" s="19" t="s">
        <v>3519</v>
      </c>
      <c r="J382" s="36" t="s">
        <v>587</v>
      </c>
      <c r="K382" s="215"/>
      <c r="L382" s="215"/>
      <c r="M382" s="36" t="s">
        <v>587</v>
      </c>
      <c r="N382" s="19" t="s">
        <v>3318</v>
      </c>
      <c r="O382" s="6" t="s">
        <v>587</v>
      </c>
      <c r="P382" s="215" t="s">
        <v>3188</v>
      </c>
      <c r="Q382" s="41" t="n">
        <f aca="false">Calib!C120</f>
        <v>3520.91666666667</v>
      </c>
      <c r="R382" s="185" t="n">
        <f aca="false">SRC_PERF_028</f>
        <v>253506</v>
      </c>
      <c r="S382" s="35" t="str">
        <f aca="false">IF(ISNUMBER($AF382),INDEX(IDX_SrcStat,$AF382),"—")</f>
        <v>Active</v>
      </c>
      <c r="T382" s="35" t="n">
        <f aca="false">IF(ISNUMBER($AF382),INDEX(IDX_SrcGrade,$AF382),"—")</f>
        <v>1</v>
      </c>
      <c r="U382" s="35" t="s">
        <v>3222</v>
      </c>
      <c r="V382" s="186" t="n">
        <f aca="false">IF(AND($F382="原始數據",$U382&lt;&gt;"連結 SRC"),1,0)</f>
        <v>0</v>
      </c>
      <c r="W382" s="186" t="n">
        <f aca="false">IF(AND($F382="Analogy",OR($H382="—",$H382="")),1,0)</f>
        <v>0</v>
      </c>
      <c r="X382" s="186" t="n">
        <f aca="false">IF(AND(OR($F382="Analogy",$F382="Assumed"),$G382&lt;&gt;"低",$G382&lt;&gt;"高",NOT(ISNUMBER($K382)),NOT(ISNUMBER($L382)),OR($M382="—",$M382="")),1,0)</f>
        <v>0</v>
      </c>
      <c r="Y382" s="186" t="n">
        <f aca="false">IF(AND(OR($F382="Analogy",$F382="Assumed",$F382="Derived（待改公式）",$F382="Derived（公式）"),OR($N382="—",$N382="",$N382=0)),1,0)</f>
        <v>0</v>
      </c>
      <c r="Z382" s="186" t="n">
        <f aca="false">IF(AND($F382="Decision",OR($J382="—",$J382="")),1,0)</f>
        <v>0</v>
      </c>
      <c r="AA382" s="183" t="n">
        <f aca="false">IF(OR($J382="—",$J382=""),0,IF(COUNTIF(Decisions!$A$5:$A$300,$J382)=0,1,0))</f>
        <v>0</v>
      </c>
      <c r="AB382" s="186" t="n">
        <f aca="false">IF(AND($F382="原始數據",$S382&lt;&gt;"Active"),1,0)</f>
        <v>0</v>
      </c>
      <c r="AC382" s="186" t="n">
        <f aca="false">IF(AND(ISNUMBER($K382),ISNUMBER($L382),ISNUMBER($Q382)),IF(OR($Q382&lt;MIN($K382,$L382),$Q382&gt;MAX($K382,$L382)),1,0),0)</f>
        <v>0</v>
      </c>
      <c r="AD382" s="186" t="n">
        <f aca="false">IF(AND(ISNUMBER($T382),$P382="高"),IF($T382=3,1,0),0)</f>
        <v>0</v>
      </c>
      <c r="AE382" s="186" t="n">
        <f aca="false">IF($S382="不存在",1,0)</f>
        <v>0</v>
      </c>
      <c r="AF382" s="35" t="n">
        <f aca="false">IF(OR($H382="—",$H382=""),"—",MATCH($H382,IDX_SrcID,0))</f>
        <v>316</v>
      </c>
      <c r="AG382" s="104" t="n">
        <f aca="false">IF(AND($P382="高",OR($AD382=1,$X382=1)),1,0)</f>
        <v>0</v>
      </c>
      <c r="AH382" s="104" t="n">
        <f aca="false">IF(AND($P382="高",$AG382=0,OR($F382&lt;&gt;"原始數據",$T382&lt;&gt;1)),1,0)</f>
        <v>0</v>
      </c>
      <c r="AI382" s="53" t="str">
        <f aca="false">IF(AND($P382="高",ISNUMBER($AF382)),INDEX(IDX_SrcDate,$AF382),"—")</f>
        <v>—</v>
      </c>
      <c r="AJ382" s="104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6" t="s">
        <v>4112</v>
      </c>
      <c r="B383" s="215" t="s">
        <v>3183</v>
      </c>
      <c r="C383" s="36" t="s">
        <v>3923</v>
      </c>
      <c r="D383" s="36" t="s">
        <v>4113</v>
      </c>
      <c r="E383" s="6" t="s">
        <v>538</v>
      </c>
      <c r="F383" s="215" t="s">
        <v>298</v>
      </c>
      <c r="G383" s="215" t="s">
        <v>3185</v>
      </c>
      <c r="H383" s="36" t="s">
        <v>4114</v>
      </c>
      <c r="I383" s="19" t="s">
        <v>3519</v>
      </c>
      <c r="J383" s="36" t="s">
        <v>587</v>
      </c>
      <c r="K383" s="215"/>
      <c r="L383" s="215"/>
      <c r="M383" s="36" t="s">
        <v>587</v>
      </c>
      <c r="N383" s="19" t="s">
        <v>3318</v>
      </c>
      <c r="O383" s="6" t="s">
        <v>587</v>
      </c>
      <c r="P383" s="215" t="s">
        <v>3188</v>
      </c>
      <c r="Q383" s="41" t="n">
        <f aca="false">Calib!D120</f>
        <v>3337.75</v>
      </c>
      <c r="R383" s="185" t="n">
        <f aca="false">SRC_PERF_025</f>
        <v>240318</v>
      </c>
      <c r="S383" s="35" t="str">
        <f aca="false">IF(ISNUMBER($AF383),INDEX(IDX_SrcStat,$AF383),"—")</f>
        <v>Active</v>
      </c>
      <c r="T383" s="35" t="n">
        <f aca="false">IF(ISNUMBER($AF383),INDEX(IDX_SrcGrade,$AF383),"—")</f>
        <v>2</v>
      </c>
      <c r="U383" s="35" t="s">
        <v>3222</v>
      </c>
      <c r="V383" s="186" t="n">
        <f aca="false">IF(AND($F383="原始數據",$U383&lt;&gt;"連結 SRC"),1,0)</f>
        <v>0</v>
      </c>
      <c r="W383" s="186" t="n">
        <f aca="false">IF(AND($F383="Analogy",OR($H383="—",$H383="")),1,0)</f>
        <v>0</v>
      </c>
      <c r="X383" s="186" t="n">
        <f aca="false">IF(AND(OR($F383="Analogy",$F383="Assumed"),$G383&lt;&gt;"低",$G383&lt;&gt;"高",NOT(ISNUMBER($K383)),NOT(ISNUMBER($L383)),OR($M383="—",$M383="")),1,0)</f>
        <v>0</v>
      </c>
      <c r="Y383" s="186" t="n">
        <f aca="false">IF(AND(OR($F383="Analogy",$F383="Assumed",$F383="Derived（待改公式）",$F383="Derived（公式）"),OR($N383="—",$N383="",$N383=0)),1,0)</f>
        <v>0</v>
      </c>
      <c r="Z383" s="186" t="n">
        <f aca="false">IF(AND($F383="Decision",OR($J383="—",$J383="")),1,0)</f>
        <v>0</v>
      </c>
      <c r="AA383" s="183" t="n">
        <f aca="false">IF(OR($J383="—",$J383=""),0,IF(COUNTIF(Decisions!$A$5:$A$300,$J383)=0,1,0))</f>
        <v>0</v>
      </c>
      <c r="AB383" s="186" t="n">
        <f aca="false">IF(AND($F383="原始數據",$S383&lt;&gt;"Active"),1,0)</f>
        <v>0</v>
      </c>
      <c r="AC383" s="186" t="n">
        <f aca="false">IF(AND(ISNUMBER($K383),ISNUMBER($L383),ISNUMBER($Q383)),IF(OR($Q383&lt;MIN($K383,$L383),$Q383&gt;MAX($K383,$L383)),1,0),0)</f>
        <v>0</v>
      </c>
      <c r="AD383" s="186" t="n">
        <f aca="false">IF(AND(ISNUMBER($T383),$P383="高"),IF($T383=3,1,0),0)</f>
        <v>0</v>
      </c>
      <c r="AE383" s="186" t="n">
        <f aca="false">IF($S383="不存在",1,0)</f>
        <v>0</v>
      </c>
      <c r="AF383" s="35" t="n">
        <f aca="false">IF(OR($H383="—",$H383=""),"—",MATCH($H383,IDX_SrcID,0))</f>
        <v>313</v>
      </c>
      <c r="AG383" s="104" t="n">
        <f aca="false">IF(AND($P383="高",OR($AD383=1,$X383=1)),1,0)</f>
        <v>0</v>
      </c>
      <c r="AH383" s="104" t="n">
        <f aca="false">IF(AND($P383="高",$AG383=0,OR($F383&lt;&gt;"原始數據",$T383&lt;&gt;1)),1,0)</f>
        <v>0</v>
      </c>
      <c r="AI383" s="53" t="str">
        <f aca="false">IF(AND($P383="高",ISNUMBER($AF383)),INDEX(IDX_SrcDate,$AF383),"—")</f>
        <v>—</v>
      </c>
      <c r="AJ383" s="104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6" t="s">
        <v>4115</v>
      </c>
      <c r="B384" s="215" t="s">
        <v>3183</v>
      </c>
      <c r="C384" s="36" t="s">
        <v>3923</v>
      </c>
      <c r="D384" s="36" t="s">
        <v>4116</v>
      </c>
      <c r="E384" s="6" t="s">
        <v>538</v>
      </c>
      <c r="F384" s="215" t="s">
        <v>298</v>
      </c>
      <c r="G384" s="215" t="s">
        <v>3185</v>
      </c>
      <c r="H384" s="36" t="s">
        <v>4117</v>
      </c>
      <c r="I384" s="19" t="s">
        <v>3519</v>
      </c>
      <c r="J384" s="36" t="s">
        <v>587</v>
      </c>
      <c r="K384" s="215"/>
      <c r="L384" s="215"/>
      <c r="M384" s="36" t="s">
        <v>587</v>
      </c>
      <c r="N384" s="19" t="s">
        <v>3318</v>
      </c>
      <c r="O384" s="6" t="s">
        <v>587</v>
      </c>
      <c r="P384" s="215" t="s">
        <v>3188</v>
      </c>
      <c r="Q384" s="41" t="n">
        <f aca="false">Calib!E120</f>
        <v>9065.97222222222</v>
      </c>
      <c r="R384" s="185" t="n">
        <f aca="false">SRC_PERF_027</f>
        <v>652750</v>
      </c>
      <c r="S384" s="35" t="str">
        <f aca="false">IF(ISNUMBER($AF384),INDEX(IDX_SrcStat,$AF384),"—")</f>
        <v>Active</v>
      </c>
      <c r="T384" s="35" t="n">
        <f aca="false">IF(ISNUMBER($AF384),INDEX(IDX_SrcGrade,$AF384),"—")</f>
        <v>1</v>
      </c>
      <c r="U384" s="35" t="s">
        <v>3222</v>
      </c>
      <c r="V384" s="186" t="n">
        <f aca="false">IF(AND($F384="原始數據",$U384&lt;&gt;"連結 SRC"),1,0)</f>
        <v>0</v>
      </c>
      <c r="W384" s="186" t="n">
        <f aca="false">IF(AND($F384="Analogy",OR($H384="—",$H384="")),1,0)</f>
        <v>0</v>
      </c>
      <c r="X384" s="186" t="n">
        <f aca="false">IF(AND(OR($F384="Analogy",$F384="Assumed"),$G384&lt;&gt;"低",$G384&lt;&gt;"高",NOT(ISNUMBER($K384)),NOT(ISNUMBER($L384)),OR($M384="—",$M384="")),1,0)</f>
        <v>0</v>
      </c>
      <c r="Y384" s="186" t="n">
        <f aca="false">IF(AND(OR($F384="Analogy",$F384="Assumed",$F384="Derived（待改公式）",$F384="Derived（公式）"),OR($N384="—",$N384="",$N384=0)),1,0)</f>
        <v>0</v>
      </c>
      <c r="Z384" s="186" t="n">
        <f aca="false">IF(AND($F384="Decision",OR($J384="—",$J384="")),1,0)</f>
        <v>0</v>
      </c>
      <c r="AA384" s="183" t="n">
        <f aca="false">IF(OR($J384="—",$J384=""),0,IF(COUNTIF(Decisions!$A$5:$A$300,$J384)=0,1,0))</f>
        <v>0</v>
      </c>
      <c r="AB384" s="186" t="n">
        <f aca="false">IF(AND($F384="原始數據",$S384&lt;&gt;"Active"),1,0)</f>
        <v>0</v>
      </c>
      <c r="AC384" s="186" t="n">
        <f aca="false">IF(AND(ISNUMBER($K384),ISNUMBER($L384),ISNUMBER($Q384)),IF(OR($Q384&lt;MIN($K384,$L384),$Q384&gt;MAX($K384,$L384)),1,0),0)</f>
        <v>0</v>
      </c>
      <c r="AD384" s="186" t="n">
        <f aca="false">IF(AND(ISNUMBER($T384),$P384="高"),IF($T384=3,1,0),0)</f>
        <v>0</v>
      </c>
      <c r="AE384" s="186" t="n">
        <f aca="false">IF($S384="不存在",1,0)</f>
        <v>0</v>
      </c>
      <c r="AF384" s="35" t="n">
        <f aca="false">IF(OR($H384="—",$H384=""),"—",MATCH($H384,IDX_SrcID,0))</f>
        <v>315</v>
      </c>
      <c r="AG384" s="104" t="n">
        <f aca="false">IF(AND($P384="高",OR($AD384=1,$X384=1)),1,0)</f>
        <v>0</v>
      </c>
      <c r="AH384" s="104" t="n">
        <f aca="false">IF(AND($P384="高",$AG384=0,OR($F384&lt;&gt;"原始數據",$T384&lt;&gt;1)),1,0)</f>
        <v>0</v>
      </c>
      <c r="AI384" s="53" t="str">
        <f aca="false">IF(AND($P384="高",ISNUMBER($AF384)),INDEX(IDX_SrcDate,$AF384),"—")</f>
        <v>—</v>
      </c>
      <c r="AJ384" s="104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6" t="s">
        <v>4118</v>
      </c>
      <c r="B385" s="215" t="s">
        <v>3183</v>
      </c>
      <c r="C385" s="36" t="s">
        <v>3923</v>
      </c>
      <c r="D385" s="36" t="s">
        <v>4119</v>
      </c>
      <c r="E385" s="6" t="s">
        <v>538</v>
      </c>
      <c r="F385" s="215" t="s">
        <v>298</v>
      </c>
      <c r="G385" s="215" t="s">
        <v>3185</v>
      </c>
      <c r="H385" s="36" t="s">
        <v>4120</v>
      </c>
      <c r="I385" s="19" t="s">
        <v>3220</v>
      </c>
      <c r="J385" s="36" t="s">
        <v>587</v>
      </c>
      <c r="K385" s="215"/>
      <c r="L385" s="215"/>
      <c r="M385" s="36" t="s">
        <v>587</v>
      </c>
      <c r="N385" s="19" t="s">
        <v>3318</v>
      </c>
      <c r="O385" s="6" t="s">
        <v>587</v>
      </c>
      <c r="P385" s="215" t="s">
        <v>3188</v>
      </c>
      <c r="Q385" s="41" t="n">
        <f aca="false">Calib!F120</f>
        <v>8064</v>
      </c>
      <c r="R385" s="185" t="n">
        <f aca="false">SRC_PERF_026</f>
        <v>8064</v>
      </c>
      <c r="S385" s="35" t="str">
        <f aca="false">IF(ISNUMBER($AF385),INDEX(IDX_SrcStat,$AF385),"—")</f>
        <v>Active</v>
      </c>
      <c r="T385" s="35" t="n">
        <f aca="false">IF(ISNUMBER($AF385),INDEX(IDX_SrcGrade,$AF385),"—")</f>
        <v>2</v>
      </c>
      <c r="U385" s="35" t="s">
        <v>3222</v>
      </c>
      <c r="V385" s="186" t="n">
        <f aca="false">IF(AND($F385="原始數據",$U385&lt;&gt;"連結 SRC"),1,0)</f>
        <v>0</v>
      </c>
      <c r="W385" s="186" t="n">
        <f aca="false">IF(AND($F385="Analogy",OR($H385="—",$H385="")),1,0)</f>
        <v>0</v>
      </c>
      <c r="X385" s="186" t="n">
        <f aca="false">IF(AND(OR($F385="Analogy",$F385="Assumed"),$G385&lt;&gt;"低",$G385&lt;&gt;"高",NOT(ISNUMBER($K385)),NOT(ISNUMBER($L385)),OR($M385="—",$M385="")),1,0)</f>
        <v>0</v>
      </c>
      <c r="Y385" s="186" t="n">
        <f aca="false">IF(AND(OR($F385="Analogy",$F385="Assumed",$F385="Derived（待改公式）",$F385="Derived（公式）"),OR($N385="—",$N385="",$N385=0)),1,0)</f>
        <v>0</v>
      </c>
      <c r="Z385" s="186" t="n">
        <f aca="false">IF(AND($F385="Decision",OR($J385="—",$J385="")),1,0)</f>
        <v>0</v>
      </c>
      <c r="AA385" s="183" t="n">
        <f aca="false">IF(OR($J385="—",$J385=""),0,IF(COUNTIF(Decisions!$A$5:$A$300,$J385)=0,1,0))</f>
        <v>0</v>
      </c>
      <c r="AB385" s="186" t="n">
        <f aca="false">IF(AND($F385="原始數據",$S385&lt;&gt;"Active"),1,0)</f>
        <v>0</v>
      </c>
      <c r="AC385" s="186" t="n">
        <f aca="false">IF(AND(ISNUMBER($K385),ISNUMBER($L385),ISNUMBER($Q385)),IF(OR($Q385&lt;MIN($K385,$L385),$Q385&gt;MAX($K385,$L385)),1,0),0)</f>
        <v>0</v>
      </c>
      <c r="AD385" s="186" t="n">
        <f aca="false">IF(AND(ISNUMBER($T385),$P385="高"),IF($T385=3,1,0),0)</f>
        <v>0</v>
      </c>
      <c r="AE385" s="186" t="n">
        <f aca="false">IF($S385="不存在",1,0)</f>
        <v>0</v>
      </c>
      <c r="AF385" s="35" t="n">
        <f aca="false">IF(OR($H385="—",$H385=""),"—",MATCH($H385,IDX_SrcID,0))</f>
        <v>314</v>
      </c>
      <c r="AG385" s="104" t="n">
        <f aca="false">IF(AND($P385="高",OR($AD385=1,$X385=1)),1,0)</f>
        <v>0</v>
      </c>
      <c r="AH385" s="104" t="n">
        <f aca="false">IF(AND($P385="高",$AG385=0,OR($F385&lt;&gt;"原始數據",$T385&lt;&gt;1)),1,0)</f>
        <v>0</v>
      </c>
      <c r="AI385" s="53" t="str">
        <f aca="false">IF(AND($P385="高",ISNUMBER($AF385)),INDEX(IDX_SrcDate,$AF385),"—")</f>
        <v>—</v>
      </c>
      <c r="AJ385" s="104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6" t="s">
        <v>4121</v>
      </c>
      <c r="B386" s="215" t="s">
        <v>3183</v>
      </c>
      <c r="C386" s="36" t="s">
        <v>4122</v>
      </c>
      <c r="D386" s="36" t="s">
        <v>3835</v>
      </c>
      <c r="E386" s="6" t="s">
        <v>2790</v>
      </c>
      <c r="F386" s="36" t="s">
        <v>80</v>
      </c>
      <c r="G386" s="215" t="s">
        <v>3185</v>
      </c>
      <c r="H386" s="36" t="s">
        <v>587</v>
      </c>
      <c r="I386" s="6" t="s">
        <v>587</v>
      </c>
      <c r="J386" s="36" t="s">
        <v>587</v>
      </c>
      <c r="K386" s="217" t="n">
        <v>0.4</v>
      </c>
      <c r="L386" s="217" t="n">
        <v>0.8</v>
      </c>
      <c r="M386" s="36" t="s">
        <v>4123</v>
      </c>
      <c r="N386" s="216" t="str">
        <f aca="false">Energy!$F$5</f>
        <v>Assumed：pJ/FLOP＝GPU 功率 × 此比例 ÷ 峰值（滿載上限口徑），區間 0.4–0.8</v>
      </c>
      <c r="O386" s="6" t="s">
        <v>587</v>
      </c>
      <c r="P386" s="215" t="s">
        <v>3188</v>
      </c>
      <c r="Q386" s="177" t="n">
        <f aca="false">Energy!C5</f>
        <v>0.6</v>
      </c>
      <c r="R386" s="36" t="s">
        <v>587</v>
      </c>
      <c r="S386" s="35" t="str">
        <f aca="false">IF(ISNUMBER($AF386),INDEX(IDX_SrcStat,$AF386),"—")</f>
        <v>—</v>
      </c>
      <c r="T386" s="35" t="str">
        <f aca="false">IF(ISNUMBER($AF386),INDEX(IDX_SrcGrade,$AF386),"—")</f>
        <v>—</v>
      </c>
      <c r="U386" s="35" t="s">
        <v>3189</v>
      </c>
      <c r="V386" s="186" t="n">
        <f aca="false">IF(AND($F386="原始數據",$U386&lt;&gt;"連結 SRC"),1,0)</f>
        <v>0</v>
      </c>
      <c r="W386" s="186" t="n">
        <f aca="false">IF(AND($F386="Analogy",OR($H386="—",$H386="")),1,0)</f>
        <v>0</v>
      </c>
      <c r="X386" s="186" t="n">
        <f aca="false">IF(AND(OR($F386="Analogy",$F386="Assumed"),$G386&lt;&gt;"低",$G386&lt;&gt;"高",NOT(ISNUMBER($K386)),NOT(ISNUMBER($L386)),OR($M386="—",$M386="")),1,0)</f>
        <v>0</v>
      </c>
      <c r="Y386" s="186" t="n">
        <f aca="false">IF(AND(OR($F386="Analogy",$F386="Assumed",$F386="Derived（待改公式）",$F386="Derived（公式）"),OR($N386="—",$N386="",$N386=0)),1,0)</f>
        <v>0</v>
      </c>
      <c r="Z386" s="186" t="n">
        <f aca="false">IF(AND($F386="Decision",OR($J386="—",$J386="")),1,0)</f>
        <v>0</v>
      </c>
      <c r="AA386" s="183" t="n">
        <f aca="false">IF(OR($J386="—",$J386=""),0,IF(COUNTIF(Decisions!$A$5:$A$300,$J386)=0,1,0))</f>
        <v>0</v>
      </c>
      <c r="AB386" s="186" t="n">
        <f aca="false">IF(AND($F386="原始數據",$S386&lt;&gt;"Active"),1,0)</f>
        <v>0</v>
      </c>
      <c r="AC386" s="186" t="n">
        <f aca="false">IF(AND(ISNUMBER($K386),ISNUMBER($L386),ISNUMBER($Q386)),IF(OR($Q386&lt;MIN($K386,$L386),$Q386&gt;MAX($K386,$L386)),1,0),0)</f>
        <v>0</v>
      </c>
      <c r="AD386" s="186" t="n">
        <f aca="false">IF(AND(ISNUMBER($T386),$P386="高"),IF($T386=3,1,0),0)</f>
        <v>0</v>
      </c>
      <c r="AE386" s="186" t="n">
        <f aca="false">IF($S386="不存在",1,0)</f>
        <v>0</v>
      </c>
      <c r="AF386" s="35" t="str">
        <f aca="false">IF(OR($H386="—",$H386=""),"—",MATCH($H386,IDX_SrcID,0))</f>
        <v>—</v>
      </c>
      <c r="AG386" s="104" t="n">
        <f aca="false">IF(AND($P386="高",OR($AD386=1,$X386=1)),1,0)</f>
        <v>0</v>
      </c>
      <c r="AH386" s="104" t="n">
        <f aca="false">IF(AND($P386="高",$AG386=0,OR($F386&lt;&gt;"原始數據",$T386&lt;&gt;1)),1,0)</f>
        <v>0</v>
      </c>
      <c r="AI386" s="53" t="str">
        <f aca="false">IF(AND($P386="高",ISNUMBER($AF386)),INDEX(IDX_SrcDate,$AF386),"—")</f>
        <v>—</v>
      </c>
      <c r="AJ386" s="104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6" t="s">
        <v>4124</v>
      </c>
      <c r="B387" s="215" t="s">
        <v>3183</v>
      </c>
      <c r="C387" s="36" t="s">
        <v>4122</v>
      </c>
      <c r="D387" s="36" t="s">
        <v>3342</v>
      </c>
      <c r="E387" s="6" t="s">
        <v>2792</v>
      </c>
      <c r="F387" s="36" t="s">
        <v>84</v>
      </c>
      <c r="G387" s="215" t="s">
        <v>3185</v>
      </c>
      <c r="H387" s="36" t="s">
        <v>4125</v>
      </c>
      <c r="I387" s="19" t="s">
        <v>4126</v>
      </c>
      <c r="J387" s="36" t="s">
        <v>587</v>
      </c>
      <c r="K387" s="217" t="n">
        <v>5</v>
      </c>
      <c r="L387" s="217" t="n">
        <v>20</v>
      </c>
      <c r="M387" s="36" t="s">
        <v>4127</v>
      </c>
      <c r="N387" s="216" t="str">
        <f aca="false">Energy!$F$6</f>
        <v>Analogy：SerDes＋交換約 1–2 pJ/bit；區間 5–20</v>
      </c>
      <c r="O387" s="6" t="s">
        <v>587</v>
      </c>
      <c r="P387" s="215" t="s">
        <v>3188</v>
      </c>
      <c r="Q387" s="183" t="n">
        <f aca="false">Energy!C6</f>
        <v>10</v>
      </c>
      <c r="R387" s="185" t="n">
        <f aca="false">SRC_HW_035_Lo</f>
        <v>1</v>
      </c>
      <c r="S387" s="35" t="str">
        <f aca="false">IF(ISNUMBER($AF387),INDEX(IDX_SrcStat,$AF387),"—")</f>
        <v>Active</v>
      </c>
      <c r="T387" s="35" t="n">
        <f aca="false">IF(ISNUMBER($AF387),INDEX(IDX_SrcGrade,$AF387),"—")</f>
        <v>3</v>
      </c>
      <c r="U387" s="35" t="s">
        <v>3189</v>
      </c>
      <c r="V387" s="186" t="n">
        <f aca="false">IF(AND($F387="原始數據",$U387&lt;&gt;"連結 SRC"),1,0)</f>
        <v>0</v>
      </c>
      <c r="W387" s="186" t="n">
        <f aca="false">IF(AND($F387="Analogy",OR($H387="—",$H387="")),1,0)</f>
        <v>0</v>
      </c>
      <c r="X387" s="186" t="n">
        <f aca="false">IF(AND(OR($F387="Analogy",$F387="Assumed"),$G387&lt;&gt;"低",$G387&lt;&gt;"高",NOT(ISNUMBER($K387)),NOT(ISNUMBER($L387)),OR($M387="—",$M387="")),1,0)</f>
        <v>0</v>
      </c>
      <c r="Y387" s="186" t="n">
        <f aca="false">IF(AND(OR($F387="Analogy",$F387="Assumed",$F387="Derived（待改公式）",$F387="Derived（公式）"),OR($N387="—",$N387="",$N387=0)),1,0)</f>
        <v>0</v>
      </c>
      <c r="Z387" s="186" t="n">
        <f aca="false">IF(AND($F387="Decision",OR($J387="—",$J387="")),1,0)</f>
        <v>0</v>
      </c>
      <c r="AA387" s="183" t="n">
        <f aca="false">IF(OR($J387="—",$J387=""),0,IF(COUNTIF(Decisions!$A$5:$A$300,$J387)=0,1,0))</f>
        <v>0</v>
      </c>
      <c r="AB387" s="186" t="n">
        <f aca="false">IF(AND($F387="原始數據",$S387&lt;&gt;"Active"),1,0)</f>
        <v>0</v>
      </c>
      <c r="AC387" s="186" t="n">
        <f aca="false">IF(AND(ISNUMBER($K387),ISNUMBER($L387),ISNUMBER($Q387)),IF(OR($Q387&lt;MIN($K387,$L387),$Q387&gt;MAX($K387,$L387)),1,0),0)</f>
        <v>0</v>
      </c>
      <c r="AD387" s="186" t="n">
        <f aca="false">IF(AND(ISNUMBER($T387),$P387="高"),IF($T387=3,1,0),0)</f>
        <v>0</v>
      </c>
      <c r="AE387" s="186" t="n">
        <f aca="false">IF($S387="不存在",1,0)</f>
        <v>0</v>
      </c>
      <c r="AF387" s="35" t="n">
        <f aca="false">IF(OR($H387="—",$H387=""),"—",MATCH($H387,IDX_SrcID,0))</f>
        <v>35</v>
      </c>
      <c r="AG387" s="104" t="n">
        <f aca="false">IF(AND($P387="高",OR($AD387=1,$X387=1)),1,0)</f>
        <v>0</v>
      </c>
      <c r="AH387" s="104" t="n">
        <f aca="false">IF(AND($P387="高",$AG387=0,OR($F387&lt;&gt;"原始數據",$T387&lt;&gt;1)),1,0)</f>
        <v>0</v>
      </c>
      <c r="AI387" s="53" t="str">
        <f aca="false">IF(AND($P387="高",ISNUMBER($AF387)),INDEX(IDX_SrcDate,$AF387),"—")</f>
        <v>—</v>
      </c>
      <c r="AJ387" s="104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6" t="s">
        <v>4128</v>
      </c>
      <c r="B388" s="215" t="s">
        <v>3183</v>
      </c>
      <c r="C388" s="36" t="s">
        <v>4122</v>
      </c>
      <c r="D388" s="36" t="s">
        <v>3666</v>
      </c>
      <c r="E388" s="6" t="s">
        <v>2795</v>
      </c>
      <c r="F388" s="36" t="s">
        <v>80</v>
      </c>
      <c r="G388" s="215" t="s">
        <v>3185</v>
      </c>
      <c r="H388" s="36" t="s">
        <v>587</v>
      </c>
      <c r="I388" s="6" t="s">
        <v>587</v>
      </c>
      <c r="J388" s="36" t="s">
        <v>587</v>
      </c>
      <c r="K388" s="217" t="n">
        <v>20</v>
      </c>
      <c r="L388" s="217" t="n">
        <v>80</v>
      </c>
      <c r="M388" s="36" t="s">
        <v>4129</v>
      </c>
      <c r="N388" s="216" t="str">
        <f aca="false">Energy!$F$7</f>
        <v>Analogy：含光模組與網卡；區間 20–80</v>
      </c>
      <c r="O388" s="6" t="s">
        <v>3574</v>
      </c>
      <c r="P388" s="215" t="s">
        <v>3188</v>
      </c>
      <c r="Q388" s="183" t="n">
        <f aca="false">Energy!C7</f>
        <v>40</v>
      </c>
      <c r="R388" s="36" t="s">
        <v>587</v>
      </c>
      <c r="S388" s="35" t="str">
        <f aca="false">IF(ISNUMBER($AF388),INDEX(IDX_SrcStat,$AF388),"—")</f>
        <v>—</v>
      </c>
      <c r="T388" s="35" t="str">
        <f aca="false">IF(ISNUMBER($AF388),INDEX(IDX_SrcGrade,$AF388),"—")</f>
        <v>—</v>
      </c>
      <c r="U388" s="35" t="s">
        <v>3189</v>
      </c>
      <c r="V388" s="186" t="n">
        <f aca="false">IF(AND($F388="原始數據",$U388&lt;&gt;"連結 SRC"),1,0)</f>
        <v>0</v>
      </c>
      <c r="W388" s="186" t="n">
        <f aca="false">IF(AND($F388="Analogy",OR($H388="—",$H388="")),1,0)</f>
        <v>0</v>
      </c>
      <c r="X388" s="186" t="n">
        <f aca="false">IF(AND(OR($F388="Analogy",$F388="Assumed"),$G388&lt;&gt;"低",$G388&lt;&gt;"高",NOT(ISNUMBER($K388)),NOT(ISNUMBER($L388)),OR($M388="—",$M388="")),1,0)</f>
        <v>0</v>
      </c>
      <c r="Y388" s="186" t="n">
        <f aca="false">IF(AND(OR($F388="Analogy",$F388="Assumed",$F388="Derived（待改公式）",$F388="Derived（公式）"),OR($N388="—",$N388="",$N388=0)),1,0)</f>
        <v>0</v>
      </c>
      <c r="Z388" s="186" t="n">
        <f aca="false">IF(AND($F388="Decision",OR($J388="—",$J388="")),1,0)</f>
        <v>0</v>
      </c>
      <c r="AA388" s="183" t="n">
        <f aca="false">IF(OR($J388="—",$J388=""),0,IF(COUNTIF(Decisions!$A$5:$A$300,$J388)=0,1,0))</f>
        <v>0</v>
      </c>
      <c r="AB388" s="186" t="n">
        <f aca="false">IF(AND($F388="原始數據",$S388&lt;&gt;"Active"),1,0)</f>
        <v>0</v>
      </c>
      <c r="AC388" s="186" t="n">
        <f aca="false">IF(AND(ISNUMBER($K388),ISNUMBER($L388),ISNUMBER($Q388)),IF(OR($Q388&lt;MIN($K388,$L388),$Q388&gt;MAX($K388,$L388)),1,0),0)</f>
        <v>0</v>
      </c>
      <c r="AD388" s="186" t="n">
        <f aca="false">IF(AND(ISNUMBER($T388),$P388="高"),IF($T388=3,1,0),0)</f>
        <v>0</v>
      </c>
      <c r="AE388" s="186" t="n">
        <f aca="false">IF($S388="不存在",1,0)</f>
        <v>0</v>
      </c>
      <c r="AF388" s="35" t="str">
        <f aca="false">IF(OR($H388="—",$H388=""),"—",MATCH($H388,IDX_SrcID,0))</f>
        <v>—</v>
      </c>
      <c r="AG388" s="104" t="n">
        <f aca="false">IF(AND($P388="高",OR($AD388=1,$X388=1)),1,0)</f>
        <v>0</v>
      </c>
      <c r="AH388" s="104" t="n">
        <f aca="false">IF(AND($P388="高",$AG388=0,OR($F388&lt;&gt;"原始數據",$T388&lt;&gt;1)),1,0)</f>
        <v>0</v>
      </c>
      <c r="AI388" s="53" t="str">
        <f aca="false">IF(AND($P388="高",ISNUMBER($AF388)),INDEX(IDX_SrcDate,$AF388),"—")</f>
        <v>—</v>
      </c>
      <c r="AJ388" s="104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6" t="s">
        <v>4130</v>
      </c>
      <c r="B389" s="215" t="s">
        <v>3183</v>
      </c>
      <c r="C389" s="36" t="s">
        <v>4131</v>
      </c>
      <c r="D389" s="36" t="s">
        <v>3835</v>
      </c>
      <c r="E389" s="6" t="s">
        <v>2809</v>
      </c>
      <c r="F389" s="36" t="s">
        <v>80</v>
      </c>
      <c r="G389" s="215" t="s">
        <v>65</v>
      </c>
      <c r="H389" s="36" t="s">
        <v>587</v>
      </c>
      <c r="I389" s="6" t="s">
        <v>587</v>
      </c>
      <c r="J389" s="36" t="s">
        <v>587</v>
      </c>
      <c r="K389" s="175" t="n">
        <f aca="false">NonNV!B5</f>
        <v>0.5</v>
      </c>
      <c r="L389" s="175" t="n">
        <f aca="false">NonNV!D5</f>
        <v>1</v>
      </c>
      <c r="M389" s="36" t="s">
        <v>587</v>
      </c>
      <c r="N389" s="216" t="str">
        <f aca="false">NonNV!$L$5</f>
        <v>MI355X 在 V4-Pro 上 26 天內吞吐提升 110 倍（S20 所屬部落格），軟體成熟度為主要不確定</v>
      </c>
      <c r="O389" s="6" t="s">
        <v>587</v>
      </c>
      <c r="P389" s="215" t="s">
        <v>3188</v>
      </c>
      <c r="Q389" s="175" t="n">
        <f aca="false">NonNV!C5</f>
        <v>0.7</v>
      </c>
      <c r="R389" s="36" t="s">
        <v>587</v>
      </c>
      <c r="S389" s="35" t="str">
        <f aca="false">IF(ISNUMBER($AF389),INDEX(IDX_SrcStat,$AF389),"—")</f>
        <v>—</v>
      </c>
      <c r="T389" s="35" t="str">
        <f aca="false">IF(ISNUMBER($AF389),INDEX(IDX_SrcGrade,$AF389),"—")</f>
        <v>—</v>
      </c>
      <c r="U389" s="35" t="s">
        <v>3189</v>
      </c>
      <c r="V389" s="186" t="n">
        <f aca="false">IF(AND($F389="原始數據",$U389&lt;&gt;"連結 SRC"),1,0)</f>
        <v>0</v>
      </c>
      <c r="W389" s="186" t="n">
        <f aca="false">IF(AND($F389="Analogy",OR($H389="—",$H389="")),1,0)</f>
        <v>0</v>
      </c>
      <c r="X389" s="186" t="n">
        <f aca="false">IF(AND(OR($F389="Analogy",$F389="Assumed"),$G389&lt;&gt;"低",$G389&lt;&gt;"高",NOT(ISNUMBER($K389)),NOT(ISNUMBER($L389)),OR($M389="—",$M389="")),1,0)</f>
        <v>0</v>
      </c>
      <c r="Y389" s="186" t="n">
        <f aca="false">IF(AND(OR($F389="Analogy",$F389="Assumed",$F389="Derived（待改公式）",$F389="Derived（公式）"),OR($N389="—",$N389="",$N389=0)),1,0)</f>
        <v>0</v>
      </c>
      <c r="Z389" s="186" t="n">
        <f aca="false">IF(AND($F389="Decision",OR($J389="—",$J389="")),1,0)</f>
        <v>0</v>
      </c>
      <c r="AA389" s="183" t="n">
        <f aca="false">IF(OR($J389="—",$J389=""),0,IF(COUNTIF(Decisions!$A$5:$A$300,$J389)=0,1,0))</f>
        <v>0</v>
      </c>
      <c r="AB389" s="186" t="n">
        <f aca="false">IF(AND($F389="原始數據",$S389&lt;&gt;"Active"),1,0)</f>
        <v>0</v>
      </c>
      <c r="AC389" s="186" t="n">
        <f aca="false">IF(AND(ISNUMBER($K389),ISNUMBER($L389),ISNUMBER($Q389)),IF(OR($Q389&lt;MIN($K389,$L389),$Q389&gt;MAX($K389,$L389)),1,0),0)</f>
        <v>0</v>
      </c>
      <c r="AD389" s="186" t="n">
        <f aca="false">IF(AND(ISNUMBER($T389),$P389="高"),IF($T389=3,1,0),0)</f>
        <v>0</v>
      </c>
      <c r="AE389" s="186" t="n">
        <f aca="false">IF($S389="不存在",1,0)</f>
        <v>0</v>
      </c>
      <c r="AF389" s="35" t="str">
        <f aca="false">IF(OR($H389="—",$H389=""),"—",MATCH($H389,IDX_SrcID,0))</f>
        <v>—</v>
      </c>
      <c r="AG389" s="104" t="n">
        <f aca="false">IF(AND($P389="高",OR($AD389=1,$X389=1)),1,0)</f>
        <v>0</v>
      </c>
      <c r="AH389" s="104" t="n">
        <f aca="false">IF(AND($P389="高",$AG389=0,OR($F389&lt;&gt;"原始數據",$T389&lt;&gt;1)),1,0)</f>
        <v>0</v>
      </c>
      <c r="AI389" s="53" t="str">
        <f aca="false">IF(AND($P389="高",ISNUMBER($AF389)),INDEX(IDX_SrcDate,$AF389),"—")</f>
        <v>—</v>
      </c>
      <c r="AJ389" s="104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6" t="s">
        <v>4132</v>
      </c>
      <c r="B390" s="215" t="s">
        <v>3183</v>
      </c>
      <c r="C390" s="36" t="s">
        <v>4131</v>
      </c>
      <c r="D390" s="36" t="s">
        <v>3843</v>
      </c>
      <c r="E390" s="6" t="s">
        <v>2809</v>
      </c>
      <c r="F390" s="36" t="s">
        <v>80</v>
      </c>
      <c r="G390" s="215" t="s">
        <v>65</v>
      </c>
      <c r="H390" s="36" t="s">
        <v>587</v>
      </c>
      <c r="I390" s="6" t="s">
        <v>587</v>
      </c>
      <c r="J390" s="36" t="s">
        <v>587</v>
      </c>
      <c r="K390" s="175" t="n">
        <f aca="false">NonNV!E5</f>
        <v>0.8</v>
      </c>
      <c r="L390" s="175" t="n">
        <f aca="false">NonNV!G5</f>
        <v>1</v>
      </c>
      <c r="M390" s="36" t="s">
        <v>587</v>
      </c>
      <c r="N390" s="216" t="str">
        <f aca="false">NonNV!$L$5</f>
        <v>MI355X 在 V4-Pro 上 26 天內吞吐提升 110 倍（S20 所屬部落格），軟體成熟度為主要不確定</v>
      </c>
      <c r="O390" s="6" t="s">
        <v>587</v>
      </c>
      <c r="P390" s="215" t="s">
        <v>3188</v>
      </c>
      <c r="Q390" s="175" t="n">
        <f aca="false">NonNV!F5</f>
        <v>0.9</v>
      </c>
      <c r="R390" s="36" t="s">
        <v>587</v>
      </c>
      <c r="S390" s="35" t="str">
        <f aca="false">IF(ISNUMBER($AF390),INDEX(IDX_SrcStat,$AF390),"—")</f>
        <v>—</v>
      </c>
      <c r="T390" s="35" t="str">
        <f aca="false">IF(ISNUMBER($AF390),INDEX(IDX_SrcGrade,$AF390),"—")</f>
        <v>—</v>
      </c>
      <c r="U390" s="35" t="s">
        <v>3189</v>
      </c>
      <c r="V390" s="186" t="n">
        <f aca="false">IF(AND($F390="原始數據",$U390&lt;&gt;"連結 SRC"),1,0)</f>
        <v>0</v>
      </c>
      <c r="W390" s="186" t="n">
        <f aca="false">IF(AND($F390="Analogy",OR($H390="—",$H390="")),1,0)</f>
        <v>0</v>
      </c>
      <c r="X390" s="186" t="n">
        <f aca="false">IF(AND(OR($F390="Analogy",$F390="Assumed"),$G390&lt;&gt;"低",$G390&lt;&gt;"高",NOT(ISNUMBER($K390)),NOT(ISNUMBER($L390)),OR($M390="—",$M390="")),1,0)</f>
        <v>0</v>
      </c>
      <c r="Y390" s="186" t="n">
        <f aca="false">IF(AND(OR($F390="Analogy",$F390="Assumed",$F390="Derived（待改公式）",$F390="Derived（公式）"),OR($N390="—",$N390="",$N390=0)),1,0)</f>
        <v>0</v>
      </c>
      <c r="Z390" s="186" t="n">
        <f aca="false">IF(AND($F390="Decision",OR($J390="—",$J390="")),1,0)</f>
        <v>0</v>
      </c>
      <c r="AA390" s="183" t="n">
        <f aca="false">IF(OR($J390="—",$J390=""),0,IF(COUNTIF(Decisions!$A$5:$A$300,$J390)=0,1,0))</f>
        <v>0</v>
      </c>
      <c r="AB390" s="186" t="n">
        <f aca="false">IF(AND($F390="原始數據",$S390&lt;&gt;"Active"),1,0)</f>
        <v>0</v>
      </c>
      <c r="AC390" s="186" t="n">
        <f aca="false">IF(AND(ISNUMBER($K390),ISNUMBER($L390),ISNUMBER($Q390)),IF(OR($Q390&lt;MIN($K390,$L390),$Q390&gt;MAX($K390,$L390)),1,0),0)</f>
        <v>0</v>
      </c>
      <c r="AD390" s="186" t="n">
        <f aca="false">IF(AND(ISNUMBER($T390),$P390="高"),IF($T390=3,1,0),0)</f>
        <v>0</v>
      </c>
      <c r="AE390" s="186" t="n">
        <f aca="false">IF($S390="不存在",1,0)</f>
        <v>0</v>
      </c>
      <c r="AF390" s="35" t="str">
        <f aca="false">IF(OR($H390="—",$H390=""),"—",MATCH($H390,IDX_SrcID,0))</f>
        <v>—</v>
      </c>
      <c r="AG390" s="104" t="n">
        <f aca="false">IF(AND($P390="高",OR($AD390=1,$X390=1)),1,0)</f>
        <v>0</v>
      </c>
      <c r="AH390" s="104" t="n">
        <f aca="false">IF(AND($P390="高",$AG390=0,OR($F390&lt;&gt;"原始數據",$T390&lt;&gt;1)),1,0)</f>
        <v>0</v>
      </c>
      <c r="AI390" s="53" t="str">
        <f aca="false">IF(AND($P390="高",ISNUMBER($AF390)),INDEX(IDX_SrcDate,$AF390),"—")</f>
        <v>—</v>
      </c>
      <c r="AJ390" s="104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6" t="s">
        <v>4133</v>
      </c>
      <c r="B391" s="215" t="s">
        <v>3183</v>
      </c>
      <c r="C391" s="36" t="s">
        <v>4131</v>
      </c>
      <c r="D391" s="36" t="s">
        <v>4134</v>
      </c>
      <c r="E391" s="6" t="s">
        <v>2809</v>
      </c>
      <c r="F391" s="36" t="s">
        <v>80</v>
      </c>
      <c r="G391" s="215" t="s">
        <v>1115</v>
      </c>
      <c r="H391" s="36" t="s">
        <v>587</v>
      </c>
      <c r="I391" s="6" t="s">
        <v>587</v>
      </c>
      <c r="J391" s="36" t="s">
        <v>587</v>
      </c>
      <c r="K391" s="215"/>
      <c r="L391" s="215"/>
      <c r="M391" s="36" t="s">
        <v>587</v>
      </c>
      <c r="N391" s="216" t="str">
        <f aca="false">NonNV!$L$5</f>
        <v>MI355X 在 V4-Pro 上 26 天內吞吐提升 110 倍（S20 所屬部落格），軟體成熟度為主要不確定</v>
      </c>
      <c r="O391" s="6" t="s">
        <v>587</v>
      </c>
      <c r="P391" s="215" t="s">
        <v>3188</v>
      </c>
      <c r="Q391" s="175" t="n">
        <f aca="false">NonNV!B5</f>
        <v>0.5</v>
      </c>
      <c r="R391" s="36" t="s">
        <v>587</v>
      </c>
      <c r="S391" s="35" t="str">
        <f aca="false">IF(ISNUMBER($AF391),INDEX(IDX_SrcStat,$AF391),"—")</f>
        <v>—</v>
      </c>
      <c r="T391" s="35" t="str">
        <f aca="false">IF(ISNUMBER($AF391),INDEX(IDX_SrcGrade,$AF391),"—")</f>
        <v>—</v>
      </c>
      <c r="U391" s="35" t="s">
        <v>3189</v>
      </c>
      <c r="V391" s="186" t="n">
        <f aca="false">IF(AND($F391="原始數據",$U391&lt;&gt;"連結 SRC"),1,0)</f>
        <v>0</v>
      </c>
      <c r="W391" s="186" t="n">
        <f aca="false">IF(AND($F391="Analogy",OR($H391="—",$H391="")),1,0)</f>
        <v>0</v>
      </c>
      <c r="X391" s="186" t="n">
        <f aca="false">IF(AND(OR($F391="Analogy",$F391="Assumed"),$G391&lt;&gt;"低",$G391&lt;&gt;"高",NOT(ISNUMBER($K391)),NOT(ISNUMBER($L391)),OR($M391="—",$M391="")),1,0)</f>
        <v>0</v>
      </c>
      <c r="Y391" s="186" t="n">
        <f aca="false">IF(AND(OR($F391="Analogy",$F391="Assumed",$F391="Derived（待改公式）",$F391="Derived（公式）"),OR($N391="—",$N391="",$N391=0)),1,0)</f>
        <v>0</v>
      </c>
      <c r="Z391" s="186" t="n">
        <f aca="false">IF(AND($F391="Decision",OR($J391="—",$J391="")),1,0)</f>
        <v>0</v>
      </c>
      <c r="AA391" s="183" t="n">
        <f aca="false">IF(OR($J391="—",$J391=""),0,IF(COUNTIF(Decisions!$A$5:$A$300,$J391)=0,1,0))</f>
        <v>0</v>
      </c>
      <c r="AB391" s="186" t="n">
        <f aca="false">IF(AND($F391="原始數據",$S391&lt;&gt;"Active"),1,0)</f>
        <v>0</v>
      </c>
      <c r="AC391" s="186" t="n">
        <f aca="false">IF(AND(ISNUMBER($K391),ISNUMBER($L391),ISNUMBER($Q391)),IF(OR($Q391&lt;MIN($K391,$L391),$Q391&gt;MAX($K391,$L391)),1,0),0)</f>
        <v>0</v>
      </c>
      <c r="AD391" s="186" t="n">
        <f aca="false">IF(AND(ISNUMBER($T391),$P391="高"),IF($T391=3,1,0),0)</f>
        <v>0</v>
      </c>
      <c r="AE391" s="186" t="n">
        <f aca="false">IF($S391="不存在",1,0)</f>
        <v>0</v>
      </c>
      <c r="AF391" s="35" t="str">
        <f aca="false">IF(OR($H391="—",$H391=""),"—",MATCH($H391,IDX_SrcID,0))</f>
        <v>—</v>
      </c>
      <c r="AG391" s="104" t="n">
        <f aca="false">IF(AND($P391="高",OR($AD391=1,$X391=1)),1,0)</f>
        <v>0</v>
      </c>
      <c r="AH391" s="104" t="n">
        <f aca="false">IF(AND($P391="高",$AG391=0,OR($F391&lt;&gt;"原始數據",$T391&lt;&gt;1)),1,0)</f>
        <v>0</v>
      </c>
      <c r="AI391" s="53" t="str">
        <f aca="false">IF(AND($P391="高",ISNUMBER($AF391)),INDEX(IDX_SrcDate,$AF391),"—")</f>
        <v>—</v>
      </c>
      <c r="AJ391" s="104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6" t="s">
        <v>4135</v>
      </c>
      <c r="B392" s="215" t="s">
        <v>3183</v>
      </c>
      <c r="C392" s="36" t="s">
        <v>4131</v>
      </c>
      <c r="D392" s="36" t="s">
        <v>3840</v>
      </c>
      <c r="E392" s="6" t="s">
        <v>2809</v>
      </c>
      <c r="F392" s="36" t="s">
        <v>80</v>
      </c>
      <c r="G392" s="215" t="s">
        <v>1116</v>
      </c>
      <c r="H392" s="36" t="s">
        <v>587</v>
      </c>
      <c r="I392" s="6" t="s">
        <v>587</v>
      </c>
      <c r="J392" s="36" t="s">
        <v>587</v>
      </c>
      <c r="K392" s="215"/>
      <c r="L392" s="215"/>
      <c r="M392" s="36" t="s">
        <v>587</v>
      </c>
      <c r="N392" s="216" t="str">
        <f aca="false">NonNV!$L$5</f>
        <v>MI355X 在 V4-Pro 上 26 天內吞吐提升 110 倍（S20 所屬部落格），軟體成熟度為主要不確定</v>
      </c>
      <c r="O392" s="6" t="s">
        <v>587</v>
      </c>
      <c r="P392" s="215" t="s">
        <v>3188</v>
      </c>
      <c r="Q392" s="175" t="n">
        <f aca="false">NonNV!D5</f>
        <v>1</v>
      </c>
      <c r="R392" s="36" t="s">
        <v>587</v>
      </c>
      <c r="S392" s="35" t="str">
        <f aca="false">IF(ISNUMBER($AF392),INDEX(IDX_SrcStat,$AF392),"—")</f>
        <v>—</v>
      </c>
      <c r="T392" s="35" t="str">
        <f aca="false">IF(ISNUMBER($AF392),INDEX(IDX_SrcGrade,$AF392),"—")</f>
        <v>—</v>
      </c>
      <c r="U392" s="35" t="s">
        <v>3189</v>
      </c>
      <c r="V392" s="186" t="n">
        <f aca="false">IF(AND($F392="原始數據",$U392&lt;&gt;"連結 SRC"),1,0)</f>
        <v>0</v>
      </c>
      <c r="W392" s="186" t="n">
        <f aca="false">IF(AND($F392="Analogy",OR($H392="—",$H392="")),1,0)</f>
        <v>0</v>
      </c>
      <c r="X392" s="186" t="n">
        <f aca="false">IF(AND(OR($F392="Analogy",$F392="Assumed"),$G392&lt;&gt;"低",$G392&lt;&gt;"高",NOT(ISNUMBER($K392)),NOT(ISNUMBER($L392)),OR($M392="—",$M392="")),1,0)</f>
        <v>0</v>
      </c>
      <c r="Y392" s="186" t="n">
        <f aca="false">IF(AND(OR($F392="Analogy",$F392="Assumed",$F392="Derived（待改公式）",$F392="Derived（公式）"),OR($N392="—",$N392="",$N392=0)),1,0)</f>
        <v>0</v>
      </c>
      <c r="Z392" s="186" t="n">
        <f aca="false">IF(AND($F392="Decision",OR($J392="—",$J392="")),1,0)</f>
        <v>0</v>
      </c>
      <c r="AA392" s="183" t="n">
        <f aca="false">IF(OR($J392="—",$J392=""),0,IF(COUNTIF(Decisions!$A$5:$A$300,$J392)=0,1,0))</f>
        <v>0</v>
      </c>
      <c r="AB392" s="186" t="n">
        <f aca="false">IF(AND($F392="原始數據",$S392&lt;&gt;"Active"),1,0)</f>
        <v>0</v>
      </c>
      <c r="AC392" s="186" t="n">
        <f aca="false">IF(AND(ISNUMBER($K392),ISNUMBER($L392),ISNUMBER($Q392)),IF(OR($Q392&lt;MIN($K392,$L392),$Q392&gt;MAX($K392,$L392)),1,0),0)</f>
        <v>0</v>
      </c>
      <c r="AD392" s="186" t="n">
        <f aca="false">IF(AND(ISNUMBER($T392),$P392="高"),IF($T392=3,1,0),0)</f>
        <v>0</v>
      </c>
      <c r="AE392" s="186" t="n">
        <f aca="false">IF($S392="不存在",1,0)</f>
        <v>0</v>
      </c>
      <c r="AF392" s="35" t="str">
        <f aca="false">IF(OR($H392="—",$H392=""),"—",MATCH($H392,IDX_SrcID,0))</f>
        <v>—</v>
      </c>
      <c r="AG392" s="104" t="n">
        <f aca="false">IF(AND($P392="高",OR($AD392=1,$X392=1)),1,0)</f>
        <v>0</v>
      </c>
      <c r="AH392" s="104" t="n">
        <f aca="false">IF(AND($P392="高",$AG392=0,OR($F392&lt;&gt;"原始數據",$T392&lt;&gt;1)),1,0)</f>
        <v>0</v>
      </c>
      <c r="AI392" s="53" t="str">
        <f aca="false">IF(AND($P392="高",ISNUMBER($AF392)),INDEX(IDX_SrcDate,$AF392),"—")</f>
        <v>—</v>
      </c>
      <c r="AJ392" s="104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6" t="s">
        <v>4136</v>
      </c>
      <c r="B393" s="215" t="s">
        <v>3183</v>
      </c>
      <c r="C393" s="36" t="s">
        <v>4131</v>
      </c>
      <c r="D393" s="36" t="s">
        <v>3055</v>
      </c>
      <c r="E393" s="6" t="s">
        <v>2809</v>
      </c>
      <c r="F393" s="36" t="s">
        <v>80</v>
      </c>
      <c r="G393" s="215" t="s">
        <v>1115</v>
      </c>
      <c r="H393" s="36" t="s">
        <v>587</v>
      </c>
      <c r="I393" s="6" t="s">
        <v>587</v>
      </c>
      <c r="J393" s="36" t="s">
        <v>587</v>
      </c>
      <c r="K393" s="215"/>
      <c r="L393" s="215"/>
      <c r="M393" s="36" t="s">
        <v>587</v>
      </c>
      <c r="N393" s="216" t="str">
        <f aca="false">NonNV!$L$5</f>
        <v>MI355X 在 V4-Pro 上 26 天內吞吐提升 110 倍（S20 所屬部落格），軟體成熟度為主要不確定</v>
      </c>
      <c r="O393" s="6" t="s">
        <v>587</v>
      </c>
      <c r="P393" s="215" t="s">
        <v>3188</v>
      </c>
      <c r="Q393" s="175" t="n">
        <f aca="false">NonNV!E5</f>
        <v>0.8</v>
      </c>
      <c r="R393" s="36" t="s">
        <v>587</v>
      </c>
      <c r="S393" s="35" t="str">
        <f aca="false">IF(ISNUMBER($AF393),INDEX(IDX_SrcStat,$AF393),"—")</f>
        <v>—</v>
      </c>
      <c r="T393" s="35" t="str">
        <f aca="false">IF(ISNUMBER($AF393),INDEX(IDX_SrcGrade,$AF393),"—")</f>
        <v>—</v>
      </c>
      <c r="U393" s="35" t="s">
        <v>3189</v>
      </c>
      <c r="V393" s="186" t="n">
        <f aca="false">IF(AND($F393="原始數據",$U393&lt;&gt;"連結 SRC"),1,0)</f>
        <v>0</v>
      </c>
      <c r="W393" s="186" t="n">
        <f aca="false">IF(AND($F393="Analogy",OR($H393="—",$H393="")),1,0)</f>
        <v>0</v>
      </c>
      <c r="X393" s="186" t="n">
        <f aca="false">IF(AND(OR($F393="Analogy",$F393="Assumed"),$G393&lt;&gt;"低",$G393&lt;&gt;"高",NOT(ISNUMBER($K393)),NOT(ISNUMBER($L393)),OR($M393="—",$M393="")),1,0)</f>
        <v>0</v>
      </c>
      <c r="Y393" s="186" t="n">
        <f aca="false">IF(AND(OR($F393="Analogy",$F393="Assumed",$F393="Derived（待改公式）",$F393="Derived（公式）"),OR($N393="—",$N393="",$N393=0)),1,0)</f>
        <v>0</v>
      </c>
      <c r="Z393" s="186" t="n">
        <f aca="false">IF(AND($F393="Decision",OR($J393="—",$J393="")),1,0)</f>
        <v>0</v>
      </c>
      <c r="AA393" s="183" t="n">
        <f aca="false">IF(OR($J393="—",$J393=""),0,IF(COUNTIF(Decisions!$A$5:$A$300,$J393)=0,1,0))</f>
        <v>0</v>
      </c>
      <c r="AB393" s="186" t="n">
        <f aca="false">IF(AND($F393="原始數據",$S393&lt;&gt;"Active"),1,0)</f>
        <v>0</v>
      </c>
      <c r="AC393" s="186" t="n">
        <f aca="false">IF(AND(ISNUMBER($K393),ISNUMBER($L393),ISNUMBER($Q393)),IF(OR($Q393&lt;MIN($K393,$L393),$Q393&gt;MAX($K393,$L393)),1,0),0)</f>
        <v>0</v>
      </c>
      <c r="AD393" s="186" t="n">
        <f aca="false">IF(AND(ISNUMBER($T393),$P393="高"),IF($T393=3,1,0),0)</f>
        <v>0</v>
      </c>
      <c r="AE393" s="186" t="n">
        <f aca="false">IF($S393="不存在",1,0)</f>
        <v>0</v>
      </c>
      <c r="AF393" s="35" t="str">
        <f aca="false">IF(OR($H393="—",$H393=""),"—",MATCH($H393,IDX_SrcID,0))</f>
        <v>—</v>
      </c>
      <c r="AG393" s="104" t="n">
        <f aca="false">IF(AND($P393="高",OR($AD393=1,$X393=1)),1,0)</f>
        <v>0</v>
      </c>
      <c r="AH393" s="104" t="n">
        <f aca="false">IF(AND($P393="高",$AG393=0,OR($F393&lt;&gt;"原始數據",$T393&lt;&gt;1)),1,0)</f>
        <v>0</v>
      </c>
      <c r="AI393" s="53" t="str">
        <f aca="false">IF(AND($P393="高",ISNUMBER($AF393)),INDEX(IDX_SrcDate,$AF393),"—")</f>
        <v>—</v>
      </c>
      <c r="AJ393" s="104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6" t="s">
        <v>4137</v>
      </c>
      <c r="B394" s="215" t="s">
        <v>3183</v>
      </c>
      <c r="C394" s="36" t="s">
        <v>4131</v>
      </c>
      <c r="D394" s="36" t="s">
        <v>3845</v>
      </c>
      <c r="E394" s="6" t="s">
        <v>2809</v>
      </c>
      <c r="F394" s="36" t="s">
        <v>80</v>
      </c>
      <c r="G394" s="215" t="s">
        <v>1116</v>
      </c>
      <c r="H394" s="36" t="s">
        <v>587</v>
      </c>
      <c r="I394" s="6" t="s">
        <v>587</v>
      </c>
      <c r="J394" s="36" t="s">
        <v>587</v>
      </c>
      <c r="K394" s="215"/>
      <c r="L394" s="215"/>
      <c r="M394" s="36" t="s">
        <v>587</v>
      </c>
      <c r="N394" s="216" t="str">
        <f aca="false">NonNV!$L$5</f>
        <v>MI355X 在 V4-Pro 上 26 天內吞吐提升 110 倍（S20 所屬部落格），軟體成熟度為主要不確定</v>
      </c>
      <c r="O394" s="6" t="s">
        <v>587</v>
      </c>
      <c r="P394" s="215" t="s">
        <v>3188</v>
      </c>
      <c r="Q394" s="175" t="n">
        <f aca="false">NonNV!G5</f>
        <v>1</v>
      </c>
      <c r="R394" s="36" t="s">
        <v>587</v>
      </c>
      <c r="S394" s="35" t="str">
        <f aca="false">IF(ISNUMBER($AF394),INDEX(IDX_SrcStat,$AF394),"—")</f>
        <v>—</v>
      </c>
      <c r="T394" s="35" t="str">
        <f aca="false">IF(ISNUMBER($AF394),INDEX(IDX_SrcGrade,$AF394),"—")</f>
        <v>—</v>
      </c>
      <c r="U394" s="35" t="s">
        <v>3189</v>
      </c>
      <c r="V394" s="186" t="n">
        <f aca="false">IF(AND($F394="原始數據",$U394&lt;&gt;"連結 SRC"),1,0)</f>
        <v>0</v>
      </c>
      <c r="W394" s="186" t="n">
        <f aca="false">IF(AND($F394="Analogy",OR($H394="—",$H394="")),1,0)</f>
        <v>0</v>
      </c>
      <c r="X394" s="186" t="n">
        <f aca="false">IF(AND(OR($F394="Analogy",$F394="Assumed"),$G394&lt;&gt;"低",$G394&lt;&gt;"高",NOT(ISNUMBER($K394)),NOT(ISNUMBER($L394)),OR($M394="—",$M394="")),1,0)</f>
        <v>0</v>
      </c>
      <c r="Y394" s="186" t="n">
        <f aca="false">IF(AND(OR($F394="Analogy",$F394="Assumed",$F394="Derived（待改公式）",$F394="Derived（公式）"),OR($N394="—",$N394="",$N394=0)),1,0)</f>
        <v>0</v>
      </c>
      <c r="Z394" s="186" t="n">
        <f aca="false">IF(AND($F394="Decision",OR($J394="—",$J394="")),1,0)</f>
        <v>0</v>
      </c>
      <c r="AA394" s="183" t="n">
        <f aca="false">IF(OR($J394="—",$J394=""),0,IF(COUNTIF(Decisions!$A$5:$A$300,$J394)=0,1,0))</f>
        <v>0</v>
      </c>
      <c r="AB394" s="186" t="n">
        <f aca="false">IF(AND($F394="原始數據",$S394&lt;&gt;"Active"),1,0)</f>
        <v>0</v>
      </c>
      <c r="AC394" s="186" t="n">
        <f aca="false">IF(AND(ISNUMBER($K394),ISNUMBER($L394),ISNUMBER($Q394)),IF(OR($Q394&lt;MIN($K394,$L394),$Q394&gt;MAX($K394,$L394)),1,0),0)</f>
        <v>0</v>
      </c>
      <c r="AD394" s="186" t="n">
        <f aca="false">IF(AND(ISNUMBER($T394),$P394="高"),IF($T394=3,1,0),0)</f>
        <v>0</v>
      </c>
      <c r="AE394" s="186" t="n">
        <f aca="false">IF($S394="不存在",1,0)</f>
        <v>0</v>
      </c>
      <c r="AF394" s="35" t="str">
        <f aca="false">IF(OR($H394="—",$H394=""),"—",MATCH($H394,IDX_SrcID,0))</f>
        <v>—</v>
      </c>
      <c r="AG394" s="104" t="n">
        <f aca="false">IF(AND($P394="高",OR($AD394=1,$X394=1)),1,0)</f>
        <v>0</v>
      </c>
      <c r="AH394" s="104" t="n">
        <f aca="false">IF(AND($P394="高",$AG394=0,OR($F394&lt;&gt;"原始數據",$T394&lt;&gt;1)),1,0)</f>
        <v>0</v>
      </c>
      <c r="AI394" s="53" t="str">
        <f aca="false">IF(AND($P394="高",ISNUMBER($AF394)),INDEX(IDX_SrcDate,$AF394),"—")</f>
        <v>—</v>
      </c>
      <c r="AJ394" s="104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6" t="s">
        <v>4138</v>
      </c>
      <c r="B395" s="215" t="s">
        <v>3183</v>
      </c>
      <c r="C395" s="36" t="s">
        <v>4131</v>
      </c>
      <c r="D395" s="36" t="s">
        <v>3342</v>
      </c>
      <c r="E395" s="6" t="s">
        <v>2811</v>
      </c>
      <c r="F395" s="36" t="s">
        <v>80</v>
      </c>
      <c r="G395" s="215" t="s">
        <v>65</v>
      </c>
      <c r="H395" s="36" t="s">
        <v>587</v>
      </c>
      <c r="I395" s="6" t="s">
        <v>587</v>
      </c>
      <c r="J395" s="36" t="s">
        <v>587</v>
      </c>
      <c r="K395" s="175" t="n">
        <f aca="false">NonNV!B6</f>
        <v>0.6</v>
      </c>
      <c r="L395" s="175" t="n">
        <f aca="false">NonNV!D6</f>
        <v>1.1</v>
      </c>
      <c r="M395" s="36" t="s">
        <v>587</v>
      </c>
      <c r="N395" s="216" t="str">
        <f aca="false">NonNV!$L$6</f>
        <v>自用為主，無公開同口徑實測</v>
      </c>
      <c r="O395" s="6" t="s">
        <v>587</v>
      </c>
      <c r="P395" s="215" t="s">
        <v>3188</v>
      </c>
      <c r="Q395" s="175" t="n">
        <f aca="false">NonNV!C6</f>
        <v>0.8</v>
      </c>
      <c r="R395" s="36" t="s">
        <v>587</v>
      </c>
      <c r="S395" s="35" t="str">
        <f aca="false">IF(ISNUMBER($AF395),INDEX(IDX_SrcStat,$AF395),"—")</f>
        <v>—</v>
      </c>
      <c r="T395" s="35" t="str">
        <f aca="false">IF(ISNUMBER($AF395),INDEX(IDX_SrcGrade,$AF395),"—")</f>
        <v>—</v>
      </c>
      <c r="U395" s="35" t="s">
        <v>3189</v>
      </c>
      <c r="V395" s="186" t="n">
        <f aca="false">IF(AND($F395="原始數據",$U395&lt;&gt;"連結 SRC"),1,0)</f>
        <v>0</v>
      </c>
      <c r="W395" s="186" t="n">
        <f aca="false">IF(AND($F395="Analogy",OR($H395="—",$H395="")),1,0)</f>
        <v>0</v>
      </c>
      <c r="X395" s="186" t="n">
        <f aca="false">IF(AND(OR($F395="Analogy",$F395="Assumed"),$G395&lt;&gt;"低",$G395&lt;&gt;"高",NOT(ISNUMBER($K395)),NOT(ISNUMBER($L395)),OR($M395="—",$M395="")),1,0)</f>
        <v>0</v>
      </c>
      <c r="Y395" s="186" t="n">
        <f aca="false">IF(AND(OR($F395="Analogy",$F395="Assumed",$F395="Derived（待改公式）",$F395="Derived（公式）"),OR($N395="—",$N395="",$N395=0)),1,0)</f>
        <v>0</v>
      </c>
      <c r="Z395" s="186" t="n">
        <f aca="false">IF(AND($F395="Decision",OR($J395="—",$J395="")),1,0)</f>
        <v>0</v>
      </c>
      <c r="AA395" s="183" t="n">
        <f aca="false">IF(OR($J395="—",$J395=""),0,IF(COUNTIF(Decisions!$A$5:$A$300,$J395)=0,1,0))</f>
        <v>0</v>
      </c>
      <c r="AB395" s="186" t="n">
        <f aca="false">IF(AND($F395="原始數據",$S395&lt;&gt;"Active"),1,0)</f>
        <v>0</v>
      </c>
      <c r="AC395" s="186" t="n">
        <f aca="false">IF(AND(ISNUMBER($K395),ISNUMBER($L395),ISNUMBER($Q395)),IF(OR($Q395&lt;MIN($K395,$L395),$Q395&gt;MAX($K395,$L395)),1,0),0)</f>
        <v>0</v>
      </c>
      <c r="AD395" s="186" t="n">
        <f aca="false">IF(AND(ISNUMBER($T395),$P395="高"),IF($T395=3,1,0),0)</f>
        <v>0</v>
      </c>
      <c r="AE395" s="186" t="n">
        <f aca="false">IF($S395="不存在",1,0)</f>
        <v>0</v>
      </c>
      <c r="AF395" s="35" t="str">
        <f aca="false">IF(OR($H395="—",$H395=""),"—",MATCH($H395,IDX_SrcID,0))</f>
        <v>—</v>
      </c>
      <c r="AG395" s="104" t="n">
        <f aca="false">IF(AND($P395="高",OR($AD395=1,$X395=1)),1,0)</f>
        <v>0</v>
      </c>
      <c r="AH395" s="104" t="n">
        <f aca="false">IF(AND($P395="高",$AG395=0,OR($F395&lt;&gt;"原始數據",$T395&lt;&gt;1)),1,0)</f>
        <v>0</v>
      </c>
      <c r="AI395" s="53" t="str">
        <f aca="false">IF(AND($P395="高",ISNUMBER($AF395)),INDEX(IDX_SrcDate,$AF395),"—")</f>
        <v>—</v>
      </c>
      <c r="AJ395" s="104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6" t="s">
        <v>4139</v>
      </c>
      <c r="B396" s="215" t="s">
        <v>3183</v>
      </c>
      <c r="C396" s="36" t="s">
        <v>4131</v>
      </c>
      <c r="D396" s="36" t="s">
        <v>3350</v>
      </c>
      <c r="E396" s="6" t="s">
        <v>2811</v>
      </c>
      <c r="F396" s="36" t="s">
        <v>80</v>
      </c>
      <c r="G396" s="215" t="s">
        <v>65</v>
      </c>
      <c r="H396" s="36" t="s">
        <v>587</v>
      </c>
      <c r="I396" s="6" t="s">
        <v>587</v>
      </c>
      <c r="J396" s="36" t="s">
        <v>587</v>
      </c>
      <c r="K396" s="175" t="n">
        <f aca="false">NonNV!E6</f>
        <v>0.7</v>
      </c>
      <c r="L396" s="175" t="n">
        <f aca="false">NonNV!G6</f>
        <v>1</v>
      </c>
      <c r="M396" s="36" t="s">
        <v>587</v>
      </c>
      <c r="N396" s="216" t="str">
        <f aca="false">NonNV!$L$6</f>
        <v>自用為主，無公開同口徑實測</v>
      </c>
      <c r="O396" s="6" t="s">
        <v>587</v>
      </c>
      <c r="P396" s="215" t="s">
        <v>3188</v>
      </c>
      <c r="Q396" s="175" t="n">
        <f aca="false">NonNV!F6</f>
        <v>0.8</v>
      </c>
      <c r="R396" s="36" t="s">
        <v>587</v>
      </c>
      <c r="S396" s="35" t="str">
        <f aca="false">IF(ISNUMBER($AF396),INDEX(IDX_SrcStat,$AF396),"—")</f>
        <v>—</v>
      </c>
      <c r="T396" s="35" t="str">
        <f aca="false">IF(ISNUMBER($AF396),INDEX(IDX_SrcGrade,$AF396),"—")</f>
        <v>—</v>
      </c>
      <c r="U396" s="35" t="s">
        <v>3189</v>
      </c>
      <c r="V396" s="186" t="n">
        <f aca="false">IF(AND($F396="原始數據",$U396&lt;&gt;"連結 SRC"),1,0)</f>
        <v>0</v>
      </c>
      <c r="W396" s="186" t="n">
        <f aca="false">IF(AND($F396="Analogy",OR($H396="—",$H396="")),1,0)</f>
        <v>0</v>
      </c>
      <c r="X396" s="186" t="n">
        <f aca="false">IF(AND(OR($F396="Analogy",$F396="Assumed"),$G396&lt;&gt;"低",$G396&lt;&gt;"高",NOT(ISNUMBER($K396)),NOT(ISNUMBER($L396)),OR($M396="—",$M396="")),1,0)</f>
        <v>0</v>
      </c>
      <c r="Y396" s="186" t="n">
        <f aca="false">IF(AND(OR($F396="Analogy",$F396="Assumed",$F396="Derived（待改公式）",$F396="Derived（公式）"),OR($N396="—",$N396="",$N396=0)),1,0)</f>
        <v>0</v>
      </c>
      <c r="Z396" s="186" t="n">
        <f aca="false">IF(AND($F396="Decision",OR($J396="—",$J396="")),1,0)</f>
        <v>0</v>
      </c>
      <c r="AA396" s="183" t="n">
        <f aca="false">IF(OR($J396="—",$J396=""),0,IF(COUNTIF(Decisions!$A$5:$A$300,$J396)=0,1,0))</f>
        <v>0</v>
      </c>
      <c r="AB396" s="186" t="n">
        <f aca="false">IF(AND($F396="原始數據",$S396&lt;&gt;"Active"),1,0)</f>
        <v>0</v>
      </c>
      <c r="AC396" s="186" t="n">
        <f aca="false">IF(AND(ISNUMBER($K396),ISNUMBER($L396),ISNUMBER($Q396)),IF(OR($Q396&lt;MIN($K396,$L396),$Q396&gt;MAX($K396,$L396)),1,0),0)</f>
        <v>0</v>
      </c>
      <c r="AD396" s="186" t="n">
        <f aca="false">IF(AND(ISNUMBER($T396),$P396="高"),IF($T396=3,1,0),0)</f>
        <v>0</v>
      </c>
      <c r="AE396" s="186" t="n">
        <f aca="false">IF($S396="不存在",1,0)</f>
        <v>0</v>
      </c>
      <c r="AF396" s="35" t="str">
        <f aca="false">IF(OR($H396="—",$H396=""),"—",MATCH($H396,IDX_SrcID,0))</f>
        <v>—</v>
      </c>
      <c r="AG396" s="104" t="n">
        <f aca="false">IF(AND($P396="高",OR($AD396=1,$X396=1)),1,0)</f>
        <v>0</v>
      </c>
      <c r="AH396" s="104" t="n">
        <f aca="false">IF(AND($P396="高",$AG396=0,OR($F396&lt;&gt;"原始數據",$T396&lt;&gt;1)),1,0)</f>
        <v>0</v>
      </c>
      <c r="AI396" s="53" t="str">
        <f aca="false">IF(AND($P396="高",ISNUMBER($AF396)),INDEX(IDX_SrcDate,$AF396),"—")</f>
        <v>—</v>
      </c>
      <c r="AJ396" s="104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6" t="s">
        <v>4140</v>
      </c>
      <c r="B397" s="215" t="s">
        <v>3183</v>
      </c>
      <c r="C397" s="36" t="s">
        <v>4131</v>
      </c>
      <c r="D397" s="36" t="s">
        <v>4141</v>
      </c>
      <c r="E397" s="6" t="s">
        <v>2811</v>
      </c>
      <c r="F397" s="36" t="s">
        <v>80</v>
      </c>
      <c r="G397" s="215" t="s">
        <v>1115</v>
      </c>
      <c r="H397" s="36" t="s">
        <v>587</v>
      </c>
      <c r="I397" s="6" t="s">
        <v>587</v>
      </c>
      <c r="J397" s="36" t="s">
        <v>587</v>
      </c>
      <c r="K397" s="215"/>
      <c r="L397" s="215"/>
      <c r="M397" s="36" t="s">
        <v>587</v>
      </c>
      <c r="N397" s="216" t="str">
        <f aca="false">NonNV!$L$6</f>
        <v>自用為主，無公開同口徑實測</v>
      </c>
      <c r="O397" s="6" t="s">
        <v>587</v>
      </c>
      <c r="P397" s="215" t="s">
        <v>3188</v>
      </c>
      <c r="Q397" s="175" t="n">
        <f aca="false">NonNV!B6</f>
        <v>0.6</v>
      </c>
      <c r="R397" s="36" t="s">
        <v>587</v>
      </c>
      <c r="S397" s="35" t="str">
        <f aca="false">IF(ISNUMBER($AF397),INDEX(IDX_SrcStat,$AF397),"—")</f>
        <v>—</v>
      </c>
      <c r="T397" s="35" t="str">
        <f aca="false">IF(ISNUMBER($AF397),INDEX(IDX_SrcGrade,$AF397),"—")</f>
        <v>—</v>
      </c>
      <c r="U397" s="35" t="s">
        <v>3189</v>
      </c>
      <c r="V397" s="186" t="n">
        <f aca="false">IF(AND($F397="原始數據",$U397&lt;&gt;"連結 SRC"),1,0)</f>
        <v>0</v>
      </c>
      <c r="W397" s="186" t="n">
        <f aca="false">IF(AND($F397="Analogy",OR($H397="—",$H397="")),1,0)</f>
        <v>0</v>
      </c>
      <c r="X397" s="186" t="n">
        <f aca="false">IF(AND(OR($F397="Analogy",$F397="Assumed"),$G397&lt;&gt;"低",$G397&lt;&gt;"高",NOT(ISNUMBER($K397)),NOT(ISNUMBER($L397)),OR($M397="—",$M397="")),1,0)</f>
        <v>0</v>
      </c>
      <c r="Y397" s="186" t="n">
        <f aca="false">IF(AND(OR($F397="Analogy",$F397="Assumed",$F397="Derived（待改公式）",$F397="Derived（公式）"),OR($N397="—",$N397="",$N397=0)),1,0)</f>
        <v>0</v>
      </c>
      <c r="Z397" s="186" t="n">
        <f aca="false">IF(AND($F397="Decision",OR($J397="—",$J397="")),1,0)</f>
        <v>0</v>
      </c>
      <c r="AA397" s="183" t="n">
        <f aca="false">IF(OR($J397="—",$J397=""),0,IF(COUNTIF(Decisions!$A$5:$A$300,$J397)=0,1,0))</f>
        <v>0</v>
      </c>
      <c r="AB397" s="186" t="n">
        <f aca="false">IF(AND($F397="原始數據",$S397&lt;&gt;"Active"),1,0)</f>
        <v>0</v>
      </c>
      <c r="AC397" s="186" t="n">
        <f aca="false">IF(AND(ISNUMBER($K397),ISNUMBER($L397),ISNUMBER($Q397)),IF(OR($Q397&lt;MIN($K397,$L397),$Q397&gt;MAX($K397,$L397)),1,0),0)</f>
        <v>0</v>
      </c>
      <c r="AD397" s="186" t="n">
        <f aca="false">IF(AND(ISNUMBER($T397),$P397="高"),IF($T397=3,1,0),0)</f>
        <v>0</v>
      </c>
      <c r="AE397" s="186" t="n">
        <f aca="false">IF($S397="不存在",1,0)</f>
        <v>0</v>
      </c>
      <c r="AF397" s="35" t="str">
        <f aca="false">IF(OR($H397="—",$H397=""),"—",MATCH($H397,IDX_SrcID,0))</f>
        <v>—</v>
      </c>
      <c r="AG397" s="104" t="n">
        <f aca="false">IF(AND($P397="高",OR($AD397=1,$X397=1)),1,0)</f>
        <v>0</v>
      </c>
      <c r="AH397" s="104" t="n">
        <f aca="false">IF(AND($P397="高",$AG397=0,OR($F397&lt;&gt;"原始數據",$T397&lt;&gt;1)),1,0)</f>
        <v>0</v>
      </c>
      <c r="AI397" s="53" t="str">
        <f aca="false">IF(AND($P397="高",ISNUMBER($AF397)),INDEX(IDX_SrcDate,$AF397),"—")</f>
        <v>—</v>
      </c>
      <c r="AJ397" s="104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6" t="s">
        <v>4142</v>
      </c>
      <c r="B398" s="215" t="s">
        <v>3183</v>
      </c>
      <c r="C398" s="36" t="s">
        <v>4131</v>
      </c>
      <c r="D398" s="36" t="s">
        <v>3346</v>
      </c>
      <c r="E398" s="6" t="s">
        <v>2811</v>
      </c>
      <c r="F398" s="36" t="s">
        <v>80</v>
      </c>
      <c r="G398" s="215" t="s">
        <v>1116</v>
      </c>
      <c r="H398" s="36" t="s">
        <v>587</v>
      </c>
      <c r="I398" s="6" t="s">
        <v>587</v>
      </c>
      <c r="J398" s="36" t="s">
        <v>587</v>
      </c>
      <c r="K398" s="215"/>
      <c r="L398" s="215"/>
      <c r="M398" s="36" t="s">
        <v>587</v>
      </c>
      <c r="N398" s="216" t="str">
        <f aca="false">NonNV!$L$6</f>
        <v>自用為主，無公開同口徑實測</v>
      </c>
      <c r="O398" s="6" t="s">
        <v>587</v>
      </c>
      <c r="P398" s="215" t="s">
        <v>3188</v>
      </c>
      <c r="Q398" s="175" t="n">
        <f aca="false">NonNV!D6</f>
        <v>1.1</v>
      </c>
      <c r="R398" s="36" t="s">
        <v>587</v>
      </c>
      <c r="S398" s="35" t="str">
        <f aca="false">IF(ISNUMBER($AF398),INDEX(IDX_SrcStat,$AF398),"—")</f>
        <v>—</v>
      </c>
      <c r="T398" s="35" t="str">
        <f aca="false">IF(ISNUMBER($AF398),INDEX(IDX_SrcGrade,$AF398),"—")</f>
        <v>—</v>
      </c>
      <c r="U398" s="35" t="s">
        <v>3189</v>
      </c>
      <c r="V398" s="186" t="n">
        <f aca="false">IF(AND($F398="原始數據",$U398&lt;&gt;"連結 SRC"),1,0)</f>
        <v>0</v>
      </c>
      <c r="W398" s="186" t="n">
        <f aca="false">IF(AND($F398="Analogy",OR($H398="—",$H398="")),1,0)</f>
        <v>0</v>
      </c>
      <c r="X398" s="186" t="n">
        <f aca="false">IF(AND(OR($F398="Analogy",$F398="Assumed"),$G398&lt;&gt;"低",$G398&lt;&gt;"高",NOT(ISNUMBER($K398)),NOT(ISNUMBER($L398)),OR($M398="—",$M398="")),1,0)</f>
        <v>0</v>
      </c>
      <c r="Y398" s="186" t="n">
        <f aca="false">IF(AND(OR($F398="Analogy",$F398="Assumed",$F398="Derived（待改公式）",$F398="Derived（公式）"),OR($N398="—",$N398="",$N398=0)),1,0)</f>
        <v>0</v>
      </c>
      <c r="Z398" s="186" t="n">
        <f aca="false">IF(AND($F398="Decision",OR($J398="—",$J398="")),1,0)</f>
        <v>0</v>
      </c>
      <c r="AA398" s="183" t="n">
        <f aca="false">IF(OR($J398="—",$J398=""),0,IF(COUNTIF(Decisions!$A$5:$A$300,$J398)=0,1,0))</f>
        <v>0</v>
      </c>
      <c r="AB398" s="186" t="n">
        <f aca="false">IF(AND($F398="原始數據",$S398&lt;&gt;"Active"),1,0)</f>
        <v>0</v>
      </c>
      <c r="AC398" s="186" t="n">
        <f aca="false">IF(AND(ISNUMBER($K398),ISNUMBER($L398),ISNUMBER($Q398)),IF(OR($Q398&lt;MIN($K398,$L398),$Q398&gt;MAX($K398,$L398)),1,0),0)</f>
        <v>0</v>
      </c>
      <c r="AD398" s="186" t="n">
        <f aca="false">IF(AND(ISNUMBER($T398),$P398="高"),IF($T398=3,1,0),0)</f>
        <v>0</v>
      </c>
      <c r="AE398" s="186" t="n">
        <f aca="false">IF($S398="不存在",1,0)</f>
        <v>0</v>
      </c>
      <c r="AF398" s="35" t="str">
        <f aca="false">IF(OR($H398="—",$H398=""),"—",MATCH($H398,IDX_SrcID,0))</f>
        <v>—</v>
      </c>
      <c r="AG398" s="104" t="n">
        <f aca="false">IF(AND($P398="高",OR($AD398=1,$X398=1)),1,0)</f>
        <v>0</v>
      </c>
      <c r="AH398" s="104" t="n">
        <f aca="false">IF(AND($P398="高",$AG398=0,OR($F398&lt;&gt;"原始數據",$T398&lt;&gt;1)),1,0)</f>
        <v>0</v>
      </c>
      <c r="AI398" s="53" t="str">
        <f aca="false">IF(AND($P398="高",ISNUMBER($AF398)),INDEX(IDX_SrcDate,$AF398),"—")</f>
        <v>—</v>
      </c>
      <c r="AJ398" s="104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6" t="s">
        <v>4143</v>
      </c>
      <c r="B399" s="215" t="s">
        <v>3183</v>
      </c>
      <c r="C399" s="36" t="s">
        <v>4131</v>
      </c>
      <c r="D399" s="36" t="s">
        <v>3057</v>
      </c>
      <c r="E399" s="6" t="s">
        <v>2811</v>
      </c>
      <c r="F399" s="36" t="s">
        <v>80</v>
      </c>
      <c r="G399" s="215" t="s">
        <v>1115</v>
      </c>
      <c r="H399" s="36" t="s">
        <v>587</v>
      </c>
      <c r="I399" s="6" t="s">
        <v>587</v>
      </c>
      <c r="J399" s="36" t="s">
        <v>587</v>
      </c>
      <c r="K399" s="215"/>
      <c r="L399" s="215"/>
      <c r="M399" s="36" t="s">
        <v>587</v>
      </c>
      <c r="N399" s="216" t="str">
        <f aca="false">NonNV!$L$6</f>
        <v>自用為主，無公開同口徑實測</v>
      </c>
      <c r="O399" s="6" t="s">
        <v>587</v>
      </c>
      <c r="P399" s="215" t="s">
        <v>3188</v>
      </c>
      <c r="Q399" s="175" t="n">
        <f aca="false">NonNV!E6</f>
        <v>0.7</v>
      </c>
      <c r="R399" s="36" t="s">
        <v>587</v>
      </c>
      <c r="S399" s="35" t="str">
        <f aca="false">IF(ISNUMBER($AF399),INDEX(IDX_SrcStat,$AF399),"—")</f>
        <v>—</v>
      </c>
      <c r="T399" s="35" t="str">
        <f aca="false">IF(ISNUMBER($AF399),INDEX(IDX_SrcGrade,$AF399),"—")</f>
        <v>—</v>
      </c>
      <c r="U399" s="35" t="s">
        <v>3189</v>
      </c>
      <c r="V399" s="186" t="n">
        <f aca="false">IF(AND($F399="原始數據",$U399&lt;&gt;"連結 SRC"),1,0)</f>
        <v>0</v>
      </c>
      <c r="W399" s="186" t="n">
        <f aca="false">IF(AND($F399="Analogy",OR($H399="—",$H399="")),1,0)</f>
        <v>0</v>
      </c>
      <c r="X399" s="186" t="n">
        <f aca="false">IF(AND(OR($F399="Analogy",$F399="Assumed"),$G399&lt;&gt;"低",$G399&lt;&gt;"高",NOT(ISNUMBER($K399)),NOT(ISNUMBER($L399)),OR($M399="—",$M399="")),1,0)</f>
        <v>0</v>
      </c>
      <c r="Y399" s="186" t="n">
        <f aca="false">IF(AND(OR($F399="Analogy",$F399="Assumed",$F399="Derived（待改公式）",$F399="Derived（公式）"),OR($N399="—",$N399="",$N399=0)),1,0)</f>
        <v>0</v>
      </c>
      <c r="Z399" s="186" t="n">
        <f aca="false">IF(AND($F399="Decision",OR($J399="—",$J399="")),1,0)</f>
        <v>0</v>
      </c>
      <c r="AA399" s="183" t="n">
        <f aca="false">IF(OR($J399="—",$J399=""),0,IF(COUNTIF(Decisions!$A$5:$A$300,$J399)=0,1,0))</f>
        <v>0</v>
      </c>
      <c r="AB399" s="186" t="n">
        <f aca="false">IF(AND($F399="原始數據",$S399&lt;&gt;"Active"),1,0)</f>
        <v>0</v>
      </c>
      <c r="AC399" s="186" t="n">
        <f aca="false">IF(AND(ISNUMBER($K399),ISNUMBER($L399),ISNUMBER($Q399)),IF(OR($Q399&lt;MIN($K399,$L399),$Q399&gt;MAX($K399,$L399)),1,0),0)</f>
        <v>0</v>
      </c>
      <c r="AD399" s="186" t="n">
        <f aca="false">IF(AND(ISNUMBER($T399),$P399="高"),IF($T399=3,1,0),0)</f>
        <v>0</v>
      </c>
      <c r="AE399" s="186" t="n">
        <f aca="false">IF($S399="不存在",1,0)</f>
        <v>0</v>
      </c>
      <c r="AF399" s="35" t="str">
        <f aca="false">IF(OR($H399="—",$H399=""),"—",MATCH($H399,IDX_SrcID,0))</f>
        <v>—</v>
      </c>
      <c r="AG399" s="104" t="n">
        <f aca="false">IF(AND($P399="高",OR($AD399=1,$X399=1)),1,0)</f>
        <v>0</v>
      </c>
      <c r="AH399" s="104" t="n">
        <f aca="false">IF(AND($P399="高",$AG399=0,OR($F399&lt;&gt;"原始數據",$T399&lt;&gt;1)),1,0)</f>
        <v>0</v>
      </c>
      <c r="AI399" s="53" t="str">
        <f aca="false">IF(AND($P399="高",ISNUMBER($AF399)),INDEX(IDX_SrcDate,$AF399),"—")</f>
        <v>—</v>
      </c>
      <c r="AJ399" s="104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6" t="s">
        <v>4144</v>
      </c>
      <c r="B400" s="215" t="s">
        <v>3183</v>
      </c>
      <c r="C400" s="36" t="s">
        <v>4131</v>
      </c>
      <c r="D400" s="36" t="s">
        <v>3352</v>
      </c>
      <c r="E400" s="6" t="s">
        <v>2811</v>
      </c>
      <c r="F400" s="36" t="s">
        <v>80</v>
      </c>
      <c r="G400" s="215" t="s">
        <v>1116</v>
      </c>
      <c r="H400" s="36" t="s">
        <v>587</v>
      </c>
      <c r="I400" s="6" t="s">
        <v>587</v>
      </c>
      <c r="J400" s="36" t="s">
        <v>587</v>
      </c>
      <c r="K400" s="215"/>
      <c r="L400" s="215"/>
      <c r="M400" s="36" t="s">
        <v>587</v>
      </c>
      <c r="N400" s="216" t="str">
        <f aca="false">NonNV!$L$6</f>
        <v>自用為主，無公開同口徑實測</v>
      </c>
      <c r="O400" s="6" t="s">
        <v>587</v>
      </c>
      <c r="P400" s="215" t="s">
        <v>3188</v>
      </c>
      <c r="Q400" s="175" t="n">
        <f aca="false">NonNV!G6</f>
        <v>1</v>
      </c>
      <c r="R400" s="36" t="s">
        <v>587</v>
      </c>
      <c r="S400" s="35" t="str">
        <f aca="false">IF(ISNUMBER($AF400),INDEX(IDX_SrcStat,$AF400),"—")</f>
        <v>—</v>
      </c>
      <c r="T400" s="35" t="str">
        <f aca="false">IF(ISNUMBER($AF400),INDEX(IDX_SrcGrade,$AF400),"—")</f>
        <v>—</v>
      </c>
      <c r="U400" s="35" t="s">
        <v>3189</v>
      </c>
      <c r="V400" s="186" t="n">
        <f aca="false">IF(AND($F400="原始數據",$U400&lt;&gt;"連結 SRC"),1,0)</f>
        <v>0</v>
      </c>
      <c r="W400" s="186" t="n">
        <f aca="false">IF(AND($F400="Analogy",OR($H400="—",$H400="")),1,0)</f>
        <v>0</v>
      </c>
      <c r="X400" s="186" t="n">
        <f aca="false">IF(AND(OR($F400="Analogy",$F400="Assumed"),$G400&lt;&gt;"低",$G400&lt;&gt;"高",NOT(ISNUMBER($K400)),NOT(ISNUMBER($L400)),OR($M400="—",$M400="")),1,0)</f>
        <v>0</v>
      </c>
      <c r="Y400" s="186" t="n">
        <f aca="false">IF(AND(OR($F400="Analogy",$F400="Assumed",$F400="Derived（待改公式）",$F400="Derived（公式）"),OR($N400="—",$N400="",$N400=0)),1,0)</f>
        <v>0</v>
      </c>
      <c r="Z400" s="186" t="n">
        <f aca="false">IF(AND($F400="Decision",OR($J400="—",$J400="")),1,0)</f>
        <v>0</v>
      </c>
      <c r="AA400" s="183" t="n">
        <f aca="false">IF(OR($J400="—",$J400=""),0,IF(COUNTIF(Decisions!$A$5:$A$300,$J400)=0,1,0))</f>
        <v>0</v>
      </c>
      <c r="AB400" s="186" t="n">
        <f aca="false">IF(AND($F400="原始數據",$S400&lt;&gt;"Active"),1,0)</f>
        <v>0</v>
      </c>
      <c r="AC400" s="186" t="n">
        <f aca="false">IF(AND(ISNUMBER($K400),ISNUMBER($L400),ISNUMBER($Q400)),IF(OR($Q400&lt;MIN($K400,$L400),$Q400&gt;MAX($K400,$L400)),1,0),0)</f>
        <v>0</v>
      </c>
      <c r="AD400" s="186" t="n">
        <f aca="false">IF(AND(ISNUMBER($T400),$P400="高"),IF($T400=3,1,0),0)</f>
        <v>0</v>
      </c>
      <c r="AE400" s="186" t="n">
        <f aca="false">IF($S400="不存在",1,0)</f>
        <v>0</v>
      </c>
      <c r="AF400" s="35" t="str">
        <f aca="false">IF(OR($H400="—",$H400=""),"—",MATCH($H400,IDX_SrcID,0))</f>
        <v>—</v>
      </c>
      <c r="AG400" s="104" t="n">
        <f aca="false">IF(AND($P400="高",OR($AD400=1,$X400=1)),1,0)</f>
        <v>0</v>
      </c>
      <c r="AH400" s="104" t="n">
        <f aca="false">IF(AND($P400="高",$AG400=0,OR($F400&lt;&gt;"原始數據",$T400&lt;&gt;1)),1,0)</f>
        <v>0</v>
      </c>
      <c r="AI400" s="53" t="str">
        <f aca="false">IF(AND($P400="高",ISNUMBER($AF400)),INDEX(IDX_SrcDate,$AF400),"—")</f>
        <v>—</v>
      </c>
      <c r="AJ400" s="104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6" t="s">
        <v>4145</v>
      </c>
      <c r="B401" s="215" t="s">
        <v>3183</v>
      </c>
      <c r="C401" s="36" t="s">
        <v>4131</v>
      </c>
      <c r="D401" s="36" t="s">
        <v>3666</v>
      </c>
      <c r="E401" s="6" t="s">
        <v>2813</v>
      </c>
      <c r="F401" s="36" t="s">
        <v>80</v>
      </c>
      <c r="G401" s="215" t="s">
        <v>65</v>
      </c>
      <c r="H401" s="36" t="s">
        <v>587</v>
      </c>
      <c r="I401" s="6" t="s">
        <v>587</v>
      </c>
      <c r="J401" s="36" t="s">
        <v>587</v>
      </c>
      <c r="K401" s="175" t="n">
        <f aca="false">NonNV!B7</f>
        <v>0.3</v>
      </c>
      <c r="L401" s="175" t="n">
        <f aca="false">NonNV!D7</f>
        <v>0.8</v>
      </c>
      <c r="M401" s="36" t="s">
        <v>587</v>
      </c>
      <c r="N401" s="216" t="str">
        <f aca="false">NonNV!$L$7</f>
        <v>OpenAI v0.5 以 2GW Trainium 合約為輸入</v>
      </c>
      <c r="O401" s="6" t="s">
        <v>587</v>
      </c>
      <c r="P401" s="215" t="s">
        <v>3188</v>
      </c>
      <c r="Q401" s="175" t="n">
        <f aca="false">NonNV!C7</f>
        <v>0.5</v>
      </c>
      <c r="R401" s="36" t="s">
        <v>587</v>
      </c>
      <c r="S401" s="35" t="str">
        <f aca="false">IF(ISNUMBER($AF401),INDEX(IDX_SrcStat,$AF401),"—")</f>
        <v>—</v>
      </c>
      <c r="T401" s="35" t="str">
        <f aca="false">IF(ISNUMBER($AF401),INDEX(IDX_SrcGrade,$AF401),"—")</f>
        <v>—</v>
      </c>
      <c r="U401" s="35" t="s">
        <v>3189</v>
      </c>
      <c r="V401" s="186" t="n">
        <f aca="false">IF(AND($F401="原始數據",$U401&lt;&gt;"連結 SRC"),1,0)</f>
        <v>0</v>
      </c>
      <c r="W401" s="186" t="n">
        <f aca="false">IF(AND($F401="Analogy",OR($H401="—",$H401="")),1,0)</f>
        <v>0</v>
      </c>
      <c r="X401" s="186" t="n">
        <f aca="false">IF(AND(OR($F401="Analogy",$F401="Assumed"),$G401&lt;&gt;"低",$G401&lt;&gt;"高",NOT(ISNUMBER($K401)),NOT(ISNUMBER($L401)),OR($M401="—",$M401="")),1,0)</f>
        <v>0</v>
      </c>
      <c r="Y401" s="186" t="n">
        <f aca="false">IF(AND(OR($F401="Analogy",$F401="Assumed",$F401="Derived（待改公式）",$F401="Derived（公式）"),OR($N401="—",$N401="",$N401=0)),1,0)</f>
        <v>0</v>
      </c>
      <c r="Z401" s="186" t="n">
        <f aca="false">IF(AND($F401="Decision",OR($J401="—",$J401="")),1,0)</f>
        <v>0</v>
      </c>
      <c r="AA401" s="183" t="n">
        <f aca="false">IF(OR($J401="—",$J401=""),0,IF(COUNTIF(Decisions!$A$5:$A$300,$J401)=0,1,0))</f>
        <v>0</v>
      </c>
      <c r="AB401" s="186" t="n">
        <f aca="false">IF(AND($F401="原始數據",$S401&lt;&gt;"Active"),1,0)</f>
        <v>0</v>
      </c>
      <c r="AC401" s="186" t="n">
        <f aca="false">IF(AND(ISNUMBER($K401),ISNUMBER($L401),ISNUMBER($Q401)),IF(OR($Q401&lt;MIN($K401,$L401),$Q401&gt;MAX($K401,$L401)),1,0),0)</f>
        <v>0</v>
      </c>
      <c r="AD401" s="186" t="n">
        <f aca="false">IF(AND(ISNUMBER($T401),$P401="高"),IF($T401=3,1,0),0)</f>
        <v>0</v>
      </c>
      <c r="AE401" s="186" t="n">
        <f aca="false">IF($S401="不存在",1,0)</f>
        <v>0</v>
      </c>
      <c r="AF401" s="35" t="str">
        <f aca="false">IF(OR($H401="—",$H401=""),"—",MATCH($H401,IDX_SrcID,0))</f>
        <v>—</v>
      </c>
      <c r="AG401" s="104" t="n">
        <f aca="false">IF(AND($P401="高",OR($AD401=1,$X401=1)),1,0)</f>
        <v>0</v>
      </c>
      <c r="AH401" s="104" t="n">
        <f aca="false">IF(AND($P401="高",$AG401=0,OR($F401&lt;&gt;"原始數據",$T401&lt;&gt;1)),1,0)</f>
        <v>0</v>
      </c>
      <c r="AI401" s="53" t="str">
        <f aca="false">IF(AND($P401="高",ISNUMBER($AF401)),INDEX(IDX_SrcDate,$AF401),"—")</f>
        <v>—</v>
      </c>
      <c r="AJ401" s="104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6" t="s">
        <v>4146</v>
      </c>
      <c r="B402" s="215" t="s">
        <v>3183</v>
      </c>
      <c r="C402" s="36" t="s">
        <v>4131</v>
      </c>
      <c r="D402" s="36" t="s">
        <v>3859</v>
      </c>
      <c r="E402" s="6" t="s">
        <v>2813</v>
      </c>
      <c r="F402" s="36" t="s">
        <v>80</v>
      </c>
      <c r="G402" s="215" t="s">
        <v>65</v>
      </c>
      <c r="H402" s="36" t="s">
        <v>587</v>
      </c>
      <c r="I402" s="6" t="s">
        <v>587</v>
      </c>
      <c r="J402" s="36" t="s">
        <v>587</v>
      </c>
      <c r="K402" s="175" t="n">
        <f aca="false">NonNV!E7</f>
        <v>0.6</v>
      </c>
      <c r="L402" s="175" t="n">
        <f aca="false">NonNV!G7</f>
        <v>0.9</v>
      </c>
      <c r="M402" s="36" t="s">
        <v>587</v>
      </c>
      <c r="N402" s="216" t="str">
        <f aca="false">NonNV!$L$7</f>
        <v>OpenAI v0.5 以 2GW Trainium 合約為輸入</v>
      </c>
      <c r="O402" s="6" t="s">
        <v>587</v>
      </c>
      <c r="P402" s="215" t="s">
        <v>3188</v>
      </c>
      <c r="Q402" s="175" t="n">
        <f aca="false">NonNV!F7</f>
        <v>0.7</v>
      </c>
      <c r="R402" s="36" t="s">
        <v>587</v>
      </c>
      <c r="S402" s="35" t="str">
        <f aca="false">IF(ISNUMBER($AF402),INDEX(IDX_SrcStat,$AF402),"—")</f>
        <v>—</v>
      </c>
      <c r="T402" s="35" t="str">
        <f aca="false">IF(ISNUMBER($AF402),INDEX(IDX_SrcGrade,$AF402),"—")</f>
        <v>—</v>
      </c>
      <c r="U402" s="35" t="s">
        <v>3189</v>
      </c>
      <c r="V402" s="186" t="n">
        <f aca="false">IF(AND($F402="原始數據",$U402&lt;&gt;"連結 SRC"),1,0)</f>
        <v>0</v>
      </c>
      <c r="W402" s="186" t="n">
        <f aca="false">IF(AND($F402="Analogy",OR($H402="—",$H402="")),1,0)</f>
        <v>0</v>
      </c>
      <c r="X402" s="186" t="n">
        <f aca="false">IF(AND(OR($F402="Analogy",$F402="Assumed"),$G402&lt;&gt;"低",$G402&lt;&gt;"高",NOT(ISNUMBER($K402)),NOT(ISNUMBER($L402)),OR($M402="—",$M402="")),1,0)</f>
        <v>0</v>
      </c>
      <c r="Y402" s="186" t="n">
        <f aca="false">IF(AND(OR($F402="Analogy",$F402="Assumed",$F402="Derived（待改公式）",$F402="Derived（公式）"),OR($N402="—",$N402="",$N402=0)),1,0)</f>
        <v>0</v>
      </c>
      <c r="Z402" s="186" t="n">
        <f aca="false">IF(AND($F402="Decision",OR($J402="—",$J402="")),1,0)</f>
        <v>0</v>
      </c>
      <c r="AA402" s="183" t="n">
        <f aca="false">IF(OR($J402="—",$J402=""),0,IF(COUNTIF(Decisions!$A$5:$A$300,$J402)=0,1,0))</f>
        <v>0</v>
      </c>
      <c r="AB402" s="186" t="n">
        <f aca="false">IF(AND($F402="原始數據",$S402&lt;&gt;"Active"),1,0)</f>
        <v>0</v>
      </c>
      <c r="AC402" s="186" t="n">
        <f aca="false">IF(AND(ISNUMBER($K402),ISNUMBER($L402),ISNUMBER($Q402)),IF(OR($Q402&lt;MIN($K402,$L402),$Q402&gt;MAX($K402,$L402)),1,0),0)</f>
        <v>0</v>
      </c>
      <c r="AD402" s="186" t="n">
        <f aca="false">IF(AND(ISNUMBER($T402),$P402="高"),IF($T402=3,1,0),0)</f>
        <v>0</v>
      </c>
      <c r="AE402" s="186" t="n">
        <f aca="false">IF($S402="不存在",1,0)</f>
        <v>0</v>
      </c>
      <c r="AF402" s="35" t="str">
        <f aca="false">IF(OR($H402="—",$H402=""),"—",MATCH($H402,IDX_SrcID,0))</f>
        <v>—</v>
      </c>
      <c r="AG402" s="104" t="n">
        <f aca="false">IF(AND($P402="高",OR($AD402=1,$X402=1)),1,0)</f>
        <v>0</v>
      </c>
      <c r="AH402" s="104" t="n">
        <f aca="false">IF(AND($P402="高",$AG402=0,OR($F402&lt;&gt;"原始數據",$T402&lt;&gt;1)),1,0)</f>
        <v>0</v>
      </c>
      <c r="AI402" s="53" t="str">
        <f aca="false">IF(AND($P402="高",ISNUMBER($AF402)),INDEX(IDX_SrcDate,$AF402),"—")</f>
        <v>—</v>
      </c>
      <c r="AJ402" s="104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6" t="s">
        <v>4147</v>
      </c>
      <c r="B403" s="215" t="s">
        <v>3183</v>
      </c>
      <c r="C403" s="36" t="s">
        <v>4131</v>
      </c>
      <c r="D403" s="36" t="s">
        <v>4148</v>
      </c>
      <c r="E403" s="6" t="s">
        <v>2813</v>
      </c>
      <c r="F403" s="36" t="s">
        <v>80</v>
      </c>
      <c r="G403" s="215" t="s">
        <v>1115</v>
      </c>
      <c r="H403" s="36" t="s">
        <v>587</v>
      </c>
      <c r="I403" s="6" t="s">
        <v>587</v>
      </c>
      <c r="J403" s="36" t="s">
        <v>587</v>
      </c>
      <c r="K403" s="215"/>
      <c r="L403" s="215"/>
      <c r="M403" s="36" t="s">
        <v>587</v>
      </c>
      <c r="N403" s="216" t="str">
        <f aca="false">NonNV!$L$7</f>
        <v>OpenAI v0.5 以 2GW Trainium 合約為輸入</v>
      </c>
      <c r="O403" s="6" t="s">
        <v>587</v>
      </c>
      <c r="P403" s="215" t="s">
        <v>3188</v>
      </c>
      <c r="Q403" s="175" t="n">
        <f aca="false">NonNV!B7</f>
        <v>0.3</v>
      </c>
      <c r="R403" s="36" t="s">
        <v>587</v>
      </c>
      <c r="S403" s="35" t="str">
        <f aca="false">IF(ISNUMBER($AF403),INDEX(IDX_SrcStat,$AF403),"—")</f>
        <v>—</v>
      </c>
      <c r="T403" s="35" t="str">
        <f aca="false">IF(ISNUMBER($AF403),INDEX(IDX_SrcGrade,$AF403),"—")</f>
        <v>—</v>
      </c>
      <c r="U403" s="35" t="s">
        <v>3189</v>
      </c>
      <c r="V403" s="186" t="n">
        <f aca="false">IF(AND($F403="原始數據",$U403&lt;&gt;"連結 SRC"),1,0)</f>
        <v>0</v>
      </c>
      <c r="W403" s="186" t="n">
        <f aca="false">IF(AND($F403="Analogy",OR($H403="—",$H403="")),1,0)</f>
        <v>0</v>
      </c>
      <c r="X403" s="186" t="n">
        <f aca="false">IF(AND(OR($F403="Analogy",$F403="Assumed"),$G403&lt;&gt;"低",$G403&lt;&gt;"高",NOT(ISNUMBER($K403)),NOT(ISNUMBER($L403)),OR($M403="—",$M403="")),1,0)</f>
        <v>0</v>
      </c>
      <c r="Y403" s="186" t="n">
        <f aca="false">IF(AND(OR($F403="Analogy",$F403="Assumed",$F403="Derived（待改公式）",$F403="Derived（公式）"),OR($N403="—",$N403="",$N403=0)),1,0)</f>
        <v>0</v>
      </c>
      <c r="Z403" s="186" t="n">
        <f aca="false">IF(AND($F403="Decision",OR($J403="—",$J403="")),1,0)</f>
        <v>0</v>
      </c>
      <c r="AA403" s="183" t="n">
        <f aca="false">IF(OR($J403="—",$J403=""),0,IF(COUNTIF(Decisions!$A$5:$A$300,$J403)=0,1,0))</f>
        <v>0</v>
      </c>
      <c r="AB403" s="186" t="n">
        <f aca="false">IF(AND($F403="原始數據",$S403&lt;&gt;"Active"),1,0)</f>
        <v>0</v>
      </c>
      <c r="AC403" s="186" t="n">
        <f aca="false">IF(AND(ISNUMBER($K403),ISNUMBER($L403),ISNUMBER($Q403)),IF(OR($Q403&lt;MIN($K403,$L403),$Q403&gt;MAX($K403,$L403)),1,0),0)</f>
        <v>0</v>
      </c>
      <c r="AD403" s="186" t="n">
        <f aca="false">IF(AND(ISNUMBER($T403),$P403="高"),IF($T403=3,1,0),0)</f>
        <v>0</v>
      </c>
      <c r="AE403" s="186" t="n">
        <f aca="false">IF($S403="不存在",1,0)</f>
        <v>0</v>
      </c>
      <c r="AF403" s="35" t="str">
        <f aca="false">IF(OR($H403="—",$H403=""),"—",MATCH($H403,IDX_SrcID,0))</f>
        <v>—</v>
      </c>
      <c r="AG403" s="104" t="n">
        <f aca="false">IF(AND($P403="高",OR($AD403=1,$X403=1)),1,0)</f>
        <v>0</v>
      </c>
      <c r="AH403" s="104" t="n">
        <f aca="false">IF(AND($P403="高",$AG403=0,OR($F403&lt;&gt;"原始數據",$T403&lt;&gt;1)),1,0)</f>
        <v>0</v>
      </c>
      <c r="AI403" s="53" t="str">
        <f aca="false">IF(AND($P403="高",ISNUMBER($AF403)),INDEX(IDX_SrcDate,$AF403),"—")</f>
        <v>—</v>
      </c>
      <c r="AJ403" s="104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6" t="s">
        <v>4149</v>
      </c>
      <c r="B404" s="215" t="s">
        <v>3183</v>
      </c>
      <c r="C404" s="36" t="s">
        <v>4131</v>
      </c>
      <c r="D404" s="36" t="s">
        <v>3669</v>
      </c>
      <c r="E404" s="6" t="s">
        <v>2813</v>
      </c>
      <c r="F404" s="36" t="s">
        <v>80</v>
      </c>
      <c r="G404" s="215" t="s">
        <v>1116</v>
      </c>
      <c r="H404" s="36" t="s">
        <v>587</v>
      </c>
      <c r="I404" s="6" t="s">
        <v>587</v>
      </c>
      <c r="J404" s="36" t="s">
        <v>587</v>
      </c>
      <c r="K404" s="215"/>
      <c r="L404" s="215"/>
      <c r="M404" s="36" t="s">
        <v>587</v>
      </c>
      <c r="N404" s="216" t="str">
        <f aca="false">NonNV!$L$7</f>
        <v>OpenAI v0.5 以 2GW Trainium 合約為輸入</v>
      </c>
      <c r="O404" s="6" t="s">
        <v>587</v>
      </c>
      <c r="P404" s="215" t="s">
        <v>3188</v>
      </c>
      <c r="Q404" s="175" t="n">
        <f aca="false">NonNV!D7</f>
        <v>0.8</v>
      </c>
      <c r="R404" s="36" t="s">
        <v>587</v>
      </c>
      <c r="S404" s="35" t="str">
        <f aca="false">IF(ISNUMBER($AF404),INDEX(IDX_SrcStat,$AF404),"—")</f>
        <v>—</v>
      </c>
      <c r="T404" s="35" t="str">
        <f aca="false">IF(ISNUMBER($AF404),INDEX(IDX_SrcGrade,$AF404),"—")</f>
        <v>—</v>
      </c>
      <c r="U404" s="35" t="s">
        <v>3189</v>
      </c>
      <c r="V404" s="186" t="n">
        <f aca="false">IF(AND($F404="原始數據",$U404&lt;&gt;"連結 SRC"),1,0)</f>
        <v>0</v>
      </c>
      <c r="W404" s="186" t="n">
        <f aca="false">IF(AND($F404="Analogy",OR($H404="—",$H404="")),1,0)</f>
        <v>0</v>
      </c>
      <c r="X404" s="186" t="n">
        <f aca="false">IF(AND(OR($F404="Analogy",$F404="Assumed"),$G404&lt;&gt;"低",$G404&lt;&gt;"高",NOT(ISNUMBER($K404)),NOT(ISNUMBER($L404)),OR($M404="—",$M404="")),1,0)</f>
        <v>0</v>
      </c>
      <c r="Y404" s="186" t="n">
        <f aca="false">IF(AND(OR($F404="Analogy",$F404="Assumed",$F404="Derived（待改公式）",$F404="Derived（公式）"),OR($N404="—",$N404="",$N404=0)),1,0)</f>
        <v>0</v>
      </c>
      <c r="Z404" s="186" t="n">
        <f aca="false">IF(AND($F404="Decision",OR($J404="—",$J404="")),1,0)</f>
        <v>0</v>
      </c>
      <c r="AA404" s="183" t="n">
        <f aca="false">IF(OR($J404="—",$J404=""),0,IF(COUNTIF(Decisions!$A$5:$A$300,$J404)=0,1,0))</f>
        <v>0</v>
      </c>
      <c r="AB404" s="186" t="n">
        <f aca="false">IF(AND($F404="原始數據",$S404&lt;&gt;"Active"),1,0)</f>
        <v>0</v>
      </c>
      <c r="AC404" s="186" t="n">
        <f aca="false">IF(AND(ISNUMBER($K404),ISNUMBER($L404),ISNUMBER($Q404)),IF(OR($Q404&lt;MIN($K404,$L404),$Q404&gt;MAX($K404,$L404)),1,0),0)</f>
        <v>0</v>
      </c>
      <c r="AD404" s="186" t="n">
        <f aca="false">IF(AND(ISNUMBER($T404),$P404="高"),IF($T404=3,1,0),0)</f>
        <v>0</v>
      </c>
      <c r="AE404" s="186" t="n">
        <f aca="false">IF($S404="不存在",1,0)</f>
        <v>0</v>
      </c>
      <c r="AF404" s="35" t="str">
        <f aca="false">IF(OR($H404="—",$H404=""),"—",MATCH($H404,IDX_SrcID,0))</f>
        <v>—</v>
      </c>
      <c r="AG404" s="104" t="n">
        <f aca="false">IF(AND($P404="高",OR($AD404=1,$X404=1)),1,0)</f>
        <v>0</v>
      </c>
      <c r="AH404" s="104" t="n">
        <f aca="false">IF(AND($P404="高",$AG404=0,OR($F404&lt;&gt;"原始數據",$T404&lt;&gt;1)),1,0)</f>
        <v>0</v>
      </c>
      <c r="AI404" s="53" t="str">
        <f aca="false">IF(AND($P404="高",ISNUMBER($AF404)),INDEX(IDX_SrcDate,$AF404),"—")</f>
        <v>—</v>
      </c>
      <c r="AJ404" s="104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6" t="s">
        <v>4150</v>
      </c>
      <c r="B405" s="215" t="s">
        <v>3183</v>
      </c>
      <c r="C405" s="36" t="s">
        <v>4131</v>
      </c>
      <c r="D405" s="36" t="s">
        <v>3060</v>
      </c>
      <c r="E405" s="6" t="s">
        <v>2813</v>
      </c>
      <c r="F405" s="36" t="s">
        <v>80</v>
      </c>
      <c r="G405" s="215" t="s">
        <v>1115</v>
      </c>
      <c r="H405" s="36" t="s">
        <v>587</v>
      </c>
      <c r="I405" s="6" t="s">
        <v>587</v>
      </c>
      <c r="J405" s="36" t="s">
        <v>587</v>
      </c>
      <c r="K405" s="215"/>
      <c r="L405" s="215"/>
      <c r="M405" s="36" t="s">
        <v>587</v>
      </c>
      <c r="N405" s="216" t="str">
        <f aca="false">NonNV!$L$7</f>
        <v>OpenAI v0.5 以 2GW Trainium 合約為輸入</v>
      </c>
      <c r="O405" s="6" t="s">
        <v>587</v>
      </c>
      <c r="P405" s="215" t="s">
        <v>3188</v>
      </c>
      <c r="Q405" s="175" t="n">
        <f aca="false">NonNV!E7</f>
        <v>0.6</v>
      </c>
      <c r="R405" s="36" t="s">
        <v>587</v>
      </c>
      <c r="S405" s="35" t="str">
        <f aca="false">IF(ISNUMBER($AF405),INDEX(IDX_SrcStat,$AF405),"—")</f>
        <v>—</v>
      </c>
      <c r="T405" s="35" t="str">
        <f aca="false">IF(ISNUMBER($AF405),INDEX(IDX_SrcGrade,$AF405),"—")</f>
        <v>—</v>
      </c>
      <c r="U405" s="35" t="s">
        <v>3189</v>
      </c>
      <c r="V405" s="186" t="n">
        <f aca="false">IF(AND($F405="原始數據",$U405&lt;&gt;"連結 SRC"),1,0)</f>
        <v>0</v>
      </c>
      <c r="W405" s="186" t="n">
        <f aca="false">IF(AND($F405="Analogy",OR($H405="—",$H405="")),1,0)</f>
        <v>0</v>
      </c>
      <c r="X405" s="186" t="n">
        <f aca="false">IF(AND(OR($F405="Analogy",$F405="Assumed"),$G405&lt;&gt;"低",$G405&lt;&gt;"高",NOT(ISNUMBER($K405)),NOT(ISNUMBER($L405)),OR($M405="—",$M405="")),1,0)</f>
        <v>0</v>
      </c>
      <c r="Y405" s="186" t="n">
        <f aca="false">IF(AND(OR($F405="Analogy",$F405="Assumed",$F405="Derived（待改公式）",$F405="Derived（公式）"),OR($N405="—",$N405="",$N405=0)),1,0)</f>
        <v>0</v>
      </c>
      <c r="Z405" s="186" t="n">
        <f aca="false">IF(AND($F405="Decision",OR($J405="—",$J405="")),1,0)</f>
        <v>0</v>
      </c>
      <c r="AA405" s="183" t="n">
        <f aca="false">IF(OR($J405="—",$J405=""),0,IF(COUNTIF(Decisions!$A$5:$A$300,$J405)=0,1,0))</f>
        <v>0</v>
      </c>
      <c r="AB405" s="186" t="n">
        <f aca="false">IF(AND($F405="原始數據",$S405&lt;&gt;"Active"),1,0)</f>
        <v>0</v>
      </c>
      <c r="AC405" s="186" t="n">
        <f aca="false">IF(AND(ISNUMBER($K405),ISNUMBER($L405),ISNUMBER($Q405)),IF(OR($Q405&lt;MIN($K405,$L405),$Q405&gt;MAX($K405,$L405)),1,0),0)</f>
        <v>0</v>
      </c>
      <c r="AD405" s="186" t="n">
        <f aca="false">IF(AND(ISNUMBER($T405),$P405="高"),IF($T405=3,1,0),0)</f>
        <v>0</v>
      </c>
      <c r="AE405" s="186" t="n">
        <f aca="false">IF($S405="不存在",1,0)</f>
        <v>0</v>
      </c>
      <c r="AF405" s="35" t="str">
        <f aca="false">IF(OR($H405="—",$H405=""),"—",MATCH($H405,IDX_SrcID,0))</f>
        <v>—</v>
      </c>
      <c r="AG405" s="104" t="n">
        <f aca="false">IF(AND($P405="高",OR($AD405=1,$X405=1)),1,0)</f>
        <v>0</v>
      </c>
      <c r="AH405" s="104" t="n">
        <f aca="false">IF(AND($P405="高",$AG405=0,OR($F405&lt;&gt;"原始數據",$T405&lt;&gt;1)),1,0)</f>
        <v>0</v>
      </c>
      <c r="AI405" s="53" t="str">
        <f aca="false">IF(AND($P405="高",ISNUMBER($AF405)),INDEX(IDX_SrcDate,$AF405),"—")</f>
        <v>—</v>
      </c>
      <c r="AJ405" s="104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6" t="s">
        <v>4151</v>
      </c>
      <c r="B406" s="215" t="s">
        <v>3183</v>
      </c>
      <c r="C406" s="36" t="s">
        <v>4131</v>
      </c>
      <c r="D406" s="36" t="s">
        <v>3861</v>
      </c>
      <c r="E406" s="6" t="s">
        <v>2813</v>
      </c>
      <c r="F406" s="36" t="s">
        <v>80</v>
      </c>
      <c r="G406" s="215" t="s">
        <v>1116</v>
      </c>
      <c r="H406" s="36" t="s">
        <v>587</v>
      </c>
      <c r="I406" s="6" t="s">
        <v>587</v>
      </c>
      <c r="J406" s="36" t="s">
        <v>587</v>
      </c>
      <c r="K406" s="215"/>
      <c r="L406" s="215"/>
      <c r="M406" s="36" t="s">
        <v>587</v>
      </c>
      <c r="N406" s="216" t="str">
        <f aca="false">NonNV!$L$7</f>
        <v>OpenAI v0.5 以 2GW Trainium 合約為輸入</v>
      </c>
      <c r="O406" s="6" t="s">
        <v>587</v>
      </c>
      <c r="P406" s="215" t="s">
        <v>3188</v>
      </c>
      <c r="Q406" s="175" t="n">
        <f aca="false">NonNV!G7</f>
        <v>0.9</v>
      </c>
      <c r="R406" s="36" t="s">
        <v>587</v>
      </c>
      <c r="S406" s="35" t="str">
        <f aca="false">IF(ISNUMBER($AF406),INDEX(IDX_SrcStat,$AF406),"—")</f>
        <v>—</v>
      </c>
      <c r="T406" s="35" t="str">
        <f aca="false">IF(ISNUMBER($AF406),INDEX(IDX_SrcGrade,$AF406),"—")</f>
        <v>—</v>
      </c>
      <c r="U406" s="35" t="s">
        <v>3189</v>
      </c>
      <c r="V406" s="186" t="n">
        <f aca="false">IF(AND($F406="原始數據",$U406&lt;&gt;"連結 SRC"),1,0)</f>
        <v>0</v>
      </c>
      <c r="W406" s="186" t="n">
        <f aca="false">IF(AND($F406="Analogy",OR($H406="—",$H406="")),1,0)</f>
        <v>0</v>
      </c>
      <c r="X406" s="186" t="n">
        <f aca="false">IF(AND(OR($F406="Analogy",$F406="Assumed"),$G406&lt;&gt;"低",$G406&lt;&gt;"高",NOT(ISNUMBER($K406)),NOT(ISNUMBER($L406)),OR($M406="—",$M406="")),1,0)</f>
        <v>0</v>
      </c>
      <c r="Y406" s="186" t="n">
        <f aca="false">IF(AND(OR($F406="Analogy",$F406="Assumed",$F406="Derived（待改公式）",$F406="Derived（公式）"),OR($N406="—",$N406="",$N406=0)),1,0)</f>
        <v>0</v>
      </c>
      <c r="Z406" s="186" t="n">
        <f aca="false">IF(AND($F406="Decision",OR($J406="—",$J406="")),1,0)</f>
        <v>0</v>
      </c>
      <c r="AA406" s="183" t="n">
        <f aca="false">IF(OR($J406="—",$J406=""),0,IF(COUNTIF(Decisions!$A$5:$A$300,$J406)=0,1,0))</f>
        <v>0</v>
      </c>
      <c r="AB406" s="186" t="n">
        <f aca="false">IF(AND($F406="原始數據",$S406&lt;&gt;"Active"),1,0)</f>
        <v>0</v>
      </c>
      <c r="AC406" s="186" t="n">
        <f aca="false">IF(AND(ISNUMBER($K406),ISNUMBER($L406),ISNUMBER($Q406)),IF(OR($Q406&lt;MIN($K406,$L406),$Q406&gt;MAX($K406,$L406)),1,0),0)</f>
        <v>0</v>
      </c>
      <c r="AD406" s="186" t="n">
        <f aca="false">IF(AND(ISNUMBER($T406),$P406="高"),IF($T406=3,1,0),0)</f>
        <v>0</v>
      </c>
      <c r="AE406" s="186" t="n">
        <f aca="false">IF($S406="不存在",1,0)</f>
        <v>0</v>
      </c>
      <c r="AF406" s="35" t="str">
        <f aca="false">IF(OR($H406="—",$H406=""),"—",MATCH($H406,IDX_SrcID,0))</f>
        <v>—</v>
      </c>
      <c r="AG406" s="104" t="n">
        <f aca="false">IF(AND($P406="高",OR($AD406=1,$X406=1)),1,0)</f>
        <v>0</v>
      </c>
      <c r="AH406" s="104" t="n">
        <f aca="false">IF(AND($P406="高",$AG406=0,OR($F406&lt;&gt;"原始數據",$T406&lt;&gt;1)),1,0)</f>
        <v>0</v>
      </c>
      <c r="AI406" s="53" t="str">
        <f aca="false">IF(AND($P406="高",ISNUMBER($AF406)),INDEX(IDX_SrcDate,$AF406),"—")</f>
        <v>—</v>
      </c>
      <c r="AJ406" s="104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6" t="s">
        <v>4152</v>
      </c>
      <c r="B407" s="215" t="s">
        <v>3183</v>
      </c>
      <c r="C407" s="36" t="s">
        <v>4131</v>
      </c>
      <c r="D407" s="36" t="s">
        <v>3355</v>
      </c>
      <c r="E407" s="6" t="s">
        <v>2815</v>
      </c>
      <c r="F407" s="36" t="s">
        <v>80</v>
      </c>
      <c r="G407" s="215" t="s">
        <v>65</v>
      </c>
      <c r="H407" s="36" t="s">
        <v>587</v>
      </c>
      <c r="I407" s="6" t="s">
        <v>587</v>
      </c>
      <c r="J407" s="36" t="s">
        <v>587</v>
      </c>
      <c r="K407" s="175" t="n">
        <f aca="false">NonNV!B8</f>
        <v>0.2</v>
      </c>
      <c r="L407" s="175" t="n">
        <f aca="false">NonNV!D8</f>
        <v>0.8</v>
      </c>
      <c r="M407" s="36" t="s">
        <v>587</v>
      </c>
      <c r="N407" s="216" t="str">
        <f aca="false">NonNV!$L$8</f>
        <v>高互動性利基；每 GW 吞吐低、單用戶速度高</v>
      </c>
      <c r="O407" s="6" t="s">
        <v>587</v>
      </c>
      <c r="P407" s="215" t="s">
        <v>3188</v>
      </c>
      <c r="Q407" s="175" t="n">
        <f aca="false">NonNV!C8</f>
        <v>0.4</v>
      </c>
      <c r="R407" s="36" t="s">
        <v>587</v>
      </c>
      <c r="S407" s="35" t="str">
        <f aca="false">IF(ISNUMBER($AF407),INDEX(IDX_SrcStat,$AF407),"—")</f>
        <v>—</v>
      </c>
      <c r="T407" s="35" t="str">
        <f aca="false">IF(ISNUMBER($AF407),INDEX(IDX_SrcGrade,$AF407),"—")</f>
        <v>—</v>
      </c>
      <c r="U407" s="35" t="s">
        <v>3189</v>
      </c>
      <c r="V407" s="186" t="n">
        <f aca="false">IF(AND($F407="原始數據",$U407&lt;&gt;"連結 SRC"),1,0)</f>
        <v>0</v>
      </c>
      <c r="W407" s="186" t="n">
        <f aca="false">IF(AND($F407="Analogy",OR($H407="—",$H407="")),1,0)</f>
        <v>0</v>
      </c>
      <c r="X407" s="186" t="n">
        <f aca="false">IF(AND(OR($F407="Analogy",$F407="Assumed"),$G407&lt;&gt;"低",$G407&lt;&gt;"高",NOT(ISNUMBER($K407)),NOT(ISNUMBER($L407)),OR($M407="—",$M407="")),1,0)</f>
        <v>0</v>
      </c>
      <c r="Y407" s="186" t="n">
        <f aca="false">IF(AND(OR($F407="Analogy",$F407="Assumed",$F407="Derived（待改公式）",$F407="Derived（公式）"),OR($N407="—",$N407="",$N407=0)),1,0)</f>
        <v>0</v>
      </c>
      <c r="Z407" s="186" t="n">
        <f aca="false">IF(AND($F407="Decision",OR($J407="—",$J407="")),1,0)</f>
        <v>0</v>
      </c>
      <c r="AA407" s="183" t="n">
        <f aca="false">IF(OR($J407="—",$J407=""),0,IF(COUNTIF(Decisions!$A$5:$A$300,$J407)=0,1,0))</f>
        <v>0</v>
      </c>
      <c r="AB407" s="186" t="n">
        <f aca="false">IF(AND($F407="原始數據",$S407&lt;&gt;"Active"),1,0)</f>
        <v>0</v>
      </c>
      <c r="AC407" s="186" t="n">
        <f aca="false">IF(AND(ISNUMBER($K407),ISNUMBER($L407),ISNUMBER($Q407)),IF(OR($Q407&lt;MIN($K407,$L407),$Q407&gt;MAX($K407,$L407)),1,0),0)</f>
        <v>0</v>
      </c>
      <c r="AD407" s="186" t="n">
        <f aca="false">IF(AND(ISNUMBER($T407),$P407="高"),IF($T407=3,1,0),0)</f>
        <v>0</v>
      </c>
      <c r="AE407" s="186" t="n">
        <f aca="false">IF($S407="不存在",1,0)</f>
        <v>0</v>
      </c>
      <c r="AF407" s="35" t="str">
        <f aca="false">IF(OR($H407="—",$H407=""),"—",MATCH($H407,IDX_SrcID,0))</f>
        <v>—</v>
      </c>
      <c r="AG407" s="104" t="n">
        <f aca="false">IF(AND($P407="高",OR($AD407=1,$X407=1)),1,0)</f>
        <v>0</v>
      </c>
      <c r="AH407" s="104" t="n">
        <f aca="false">IF(AND($P407="高",$AG407=0,OR($F407&lt;&gt;"原始數據",$T407&lt;&gt;1)),1,0)</f>
        <v>0</v>
      </c>
      <c r="AI407" s="53" t="str">
        <f aca="false">IF(AND($P407="高",ISNUMBER($AF407)),INDEX(IDX_SrcDate,$AF407),"—")</f>
        <v>—</v>
      </c>
      <c r="AJ407" s="104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6" t="s">
        <v>4153</v>
      </c>
      <c r="B408" s="215" t="s">
        <v>3183</v>
      </c>
      <c r="C408" s="36" t="s">
        <v>4131</v>
      </c>
      <c r="D408" s="36" t="s">
        <v>3363</v>
      </c>
      <c r="E408" s="6" t="s">
        <v>2815</v>
      </c>
      <c r="F408" s="36" t="s">
        <v>80</v>
      </c>
      <c r="G408" s="215" t="s">
        <v>65</v>
      </c>
      <c r="H408" s="36" t="s">
        <v>587</v>
      </c>
      <c r="I408" s="6" t="s">
        <v>587</v>
      </c>
      <c r="J408" s="36" t="s">
        <v>587</v>
      </c>
      <c r="K408" s="175" t="n">
        <f aca="false">NonNV!E8</f>
        <v>0.8</v>
      </c>
      <c r="L408" s="175" t="n">
        <f aca="false">NonNV!G8</f>
        <v>1.2</v>
      </c>
      <c r="M408" s="36" t="s">
        <v>587</v>
      </c>
      <c r="N408" s="216" t="str">
        <f aca="false">NonNV!$L$8</f>
        <v>高互動性利基；每 GW 吞吐低、單用戶速度高</v>
      </c>
      <c r="O408" s="6" t="s">
        <v>587</v>
      </c>
      <c r="P408" s="215" t="s">
        <v>3188</v>
      </c>
      <c r="Q408" s="175" t="n">
        <f aca="false">NonNV!F8</f>
        <v>1</v>
      </c>
      <c r="R408" s="36" t="s">
        <v>587</v>
      </c>
      <c r="S408" s="35" t="str">
        <f aca="false">IF(ISNUMBER($AF408),INDEX(IDX_SrcStat,$AF408),"—")</f>
        <v>—</v>
      </c>
      <c r="T408" s="35" t="str">
        <f aca="false">IF(ISNUMBER($AF408),INDEX(IDX_SrcGrade,$AF408),"—")</f>
        <v>—</v>
      </c>
      <c r="U408" s="35" t="s">
        <v>3189</v>
      </c>
      <c r="V408" s="186" t="n">
        <f aca="false">IF(AND($F408="原始數據",$U408&lt;&gt;"連結 SRC"),1,0)</f>
        <v>0</v>
      </c>
      <c r="W408" s="186" t="n">
        <f aca="false">IF(AND($F408="Analogy",OR($H408="—",$H408="")),1,0)</f>
        <v>0</v>
      </c>
      <c r="X408" s="186" t="n">
        <f aca="false">IF(AND(OR($F408="Analogy",$F408="Assumed"),$G408&lt;&gt;"低",$G408&lt;&gt;"高",NOT(ISNUMBER($K408)),NOT(ISNUMBER($L408)),OR($M408="—",$M408="")),1,0)</f>
        <v>0</v>
      </c>
      <c r="Y408" s="186" t="n">
        <f aca="false">IF(AND(OR($F408="Analogy",$F408="Assumed",$F408="Derived（待改公式）",$F408="Derived（公式）"),OR($N408="—",$N408="",$N408=0)),1,0)</f>
        <v>0</v>
      </c>
      <c r="Z408" s="186" t="n">
        <f aca="false">IF(AND($F408="Decision",OR($J408="—",$J408="")),1,0)</f>
        <v>0</v>
      </c>
      <c r="AA408" s="183" t="n">
        <f aca="false">IF(OR($J408="—",$J408=""),0,IF(COUNTIF(Decisions!$A$5:$A$300,$J408)=0,1,0))</f>
        <v>0</v>
      </c>
      <c r="AB408" s="186" t="n">
        <f aca="false">IF(AND($F408="原始數據",$S408&lt;&gt;"Active"),1,0)</f>
        <v>0</v>
      </c>
      <c r="AC408" s="186" t="n">
        <f aca="false">IF(AND(ISNUMBER($K408),ISNUMBER($L408),ISNUMBER($Q408)),IF(OR($Q408&lt;MIN($K408,$L408),$Q408&gt;MAX($K408,$L408)),1,0),0)</f>
        <v>0</v>
      </c>
      <c r="AD408" s="186" t="n">
        <f aca="false">IF(AND(ISNUMBER($T408),$P408="高"),IF($T408=3,1,0),0)</f>
        <v>0</v>
      </c>
      <c r="AE408" s="186" t="n">
        <f aca="false">IF($S408="不存在",1,0)</f>
        <v>0</v>
      </c>
      <c r="AF408" s="35" t="str">
        <f aca="false">IF(OR($H408="—",$H408=""),"—",MATCH($H408,IDX_SrcID,0))</f>
        <v>—</v>
      </c>
      <c r="AG408" s="104" t="n">
        <f aca="false">IF(AND($P408="高",OR($AD408=1,$X408=1)),1,0)</f>
        <v>0</v>
      </c>
      <c r="AH408" s="104" t="n">
        <f aca="false">IF(AND($P408="高",$AG408=0,OR($F408&lt;&gt;"原始數據",$T408&lt;&gt;1)),1,0)</f>
        <v>0</v>
      </c>
      <c r="AI408" s="53" t="str">
        <f aca="false">IF(AND($P408="高",ISNUMBER($AF408)),INDEX(IDX_SrcDate,$AF408),"—")</f>
        <v>—</v>
      </c>
      <c r="AJ408" s="104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6" t="s">
        <v>4154</v>
      </c>
      <c r="B409" s="215" t="s">
        <v>3183</v>
      </c>
      <c r="C409" s="36" t="s">
        <v>4131</v>
      </c>
      <c r="D409" s="36" t="s">
        <v>4155</v>
      </c>
      <c r="E409" s="6" t="s">
        <v>2815</v>
      </c>
      <c r="F409" s="36" t="s">
        <v>80</v>
      </c>
      <c r="G409" s="215" t="s">
        <v>1115</v>
      </c>
      <c r="H409" s="36" t="s">
        <v>587</v>
      </c>
      <c r="I409" s="6" t="s">
        <v>587</v>
      </c>
      <c r="J409" s="36" t="s">
        <v>587</v>
      </c>
      <c r="K409" s="215"/>
      <c r="L409" s="215"/>
      <c r="M409" s="36" t="s">
        <v>587</v>
      </c>
      <c r="N409" s="216" t="str">
        <f aca="false">NonNV!$L$8</f>
        <v>高互動性利基；每 GW 吞吐低、單用戶速度高</v>
      </c>
      <c r="O409" s="6" t="s">
        <v>587</v>
      </c>
      <c r="P409" s="215" t="s">
        <v>3188</v>
      </c>
      <c r="Q409" s="175" t="n">
        <f aca="false">NonNV!B8</f>
        <v>0.2</v>
      </c>
      <c r="R409" s="36" t="s">
        <v>587</v>
      </c>
      <c r="S409" s="35" t="str">
        <f aca="false">IF(ISNUMBER($AF409),INDEX(IDX_SrcStat,$AF409),"—")</f>
        <v>—</v>
      </c>
      <c r="T409" s="35" t="str">
        <f aca="false">IF(ISNUMBER($AF409),INDEX(IDX_SrcGrade,$AF409),"—")</f>
        <v>—</v>
      </c>
      <c r="U409" s="35" t="s">
        <v>3189</v>
      </c>
      <c r="V409" s="186" t="n">
        <f aca="false">IF(AND($F409="原始數據",$U409&lt;&gt;"連結 SRC"),1,0)</f>
        <v>0</v>
      </c>
      <c r="W409" s="186" t="n">
        <f aca="false">IF(AND($F409="Analogy",OR($H409="—",$H409="")),1,0)</f>
        <v>0</v>
      </c>
      <c r="X409" s="186" t="n">
        <f aca="false">IF(AND(OR($F409="Analogy",$F409="Assumed"),$G409&lt;&gt;"低",$G409&lt;&gt;"高",NOT(ISNUMBER($K409)),NOT(ISNUMBER($L409)),OR($M409="—",$M409="")),1,0)</f>
        <v>0</v>
      </c>
      <c r="Y409" s="186" t="n">
        <f aca="false">IF(AND(OR($F409="Analogy",$F409="Assumed",$F409="Derived（待改公式）",$F409="Derived（公式）"),OR($N409="—",$N409="",$N409=0)),1,0)</f>
        <v>0</v>
      </c>
      <c r="Z409" s="186" t="n">
        <f aca="false">IF(AND($F409="Decision",OR($J409="—",$J409="")),1,0)</f>
        <v>0</v>
      </c>
      <c r="AA409" s="183" t="n">
        <f aca="false">IF(OR($J409="—",$J409=""),0,IF(COUNTIF(Decisions!$A$5:$A$300,$J409)=0,1,0))</f>
        <v>0</v>
      </c>
      <c r="AB409" s="186" t="n">
        <f aca="false">IF(AND($F409="原始數據",$S409&lt;&gt;"Active"),1,0)</f>
        <v>0</v>
      </c>
      <c r="AC409" s="186" t="n">
        <f aca="false">IF(AND(ISNUMBER($K409),ISNUMBER($L409),ISNUMBER($Q409)),IF(OR($Q409&lt;MIN($K409,$L409),$Q409&gt;MAX($K409,$L409)),1,0),0)</f>
        <v>0</v>
      </c>
      <c r="AD409" s="186" t="n">
        <f aca="false">IF(AND(ISNUMBER($T409),$P409="高"),IF($T409=3,1,0),0)</f>
        <v>0</v>
      </c>
      <c r="AE409" s="186" t="n">
        <f aca="false">IF($S409="不存在",1,0)</f>
        <v>0</v>
      </c>
      <c r="AF409" s="35" t="str">
        <f aca="false">IF(OR($H409="—",$H409=""),"—",MATCH($H409,IDX_SrcID,0))</f>
        <v>—</v>
      </c>
      <c r="AG409" s="104" t="n">
        <f aca="false">IF(AND($P409="高",OR($AD409=1,$X409=1)),1,0)</f>
        <v>0</v>
      </c>
      <c r="AH409" s="104" t="n">
        <f aca="false">IF(AND($P409="高",$AG409=0,OR($F409&lt;&gt;"原始數據",$T409&lt;&gt;1)),1,0)</f>
        <v>0</v>
      </c>
      <c r="AI409" s="53" t="str">
        <f aca="false">IF(AND($P409="高",ISNUMBER($AF409)),INDEX(IDX_SrcDate,$AF409),"—")</f>
        <v>—</v>
      </c>
      <c r="AJ409" s="104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6" t="s">
        <v>4156</v>
      </c>
      <c r="B410" s="215" t="s">
        <v>3183</v>
      </c>
      <c r="C410" s="36" t="s">
        <v>4131</v>
      </c>
      <c r="D410" s="36" t="s">
        <v>3358</v>
      </c>
      <c r="E410" s="6" t="s">
        <v>2815</v>
      </c>
      <c r="F410" s="36" t="s">
        <v>80</v>
      </c>
      <c r="G410" s="215" t="s">
        <v>1116</v>
      </c>
      <c r="H410" s="36" t="s">
        <v>587</v>
      </c>
      <c r="I410" s="6" t="s">
        <v>587</v>
      </c>
      <c r="J410" s="36" t="s">
        <v>587</v>
      </c>
      <c r="K410" s="215"/>
      <c r="L410" s="215"/>
      <c r="M410" s="36" t="s">
        <v>587</v>
      </c>
      <c r="N410" s="216" t="str">
        <f aca="false">NonNV!$L$8</f>
        <v>高互動性利基；每 GW 吞吐低、單用戶速度高</v>
      </c>
      <c r="O410" s="6" t="s">
        <v>587</v>
      </c>
      <c r="P410" s="215" t="s">
        <v>3188</v>
      </c>
      <c r="Q410" s="175" t="n">
        <f aca="false">NonNV!D8</f>
        <v>0.8</v>
      </c>
      <c r="R410" s="36" t="s">
        <v>587</v>
      </c>
      <c r="S410" s="35" t="str">
        <f aca="false">IF(ISNUMBER($AF410),INDEX(IDX_SrcStat,$AF410),"—")</f>
        <v>—</v>
      </c>
      <c r="T410" s="35" t="str">
        <f aca="false">IF(ISNUMBER($AF410),INDEX(IDX_SrcGrade,$AF410),"—")</f>
        <v>—</v>
      </c>
      <c r="U410" s="35" t="s">
        <v>3189</v>
      </c>
      <c r="V410" s="186" t="n">
        <f aca="false">IF(AND($F410="原始數據",$U410&lt;&gt;"連結 SRC"),1,0)</f>
        <v>0</v>
      </c>
      <c r="W410" s="186" t="n">
        <f aca="false">IF(AND($F410="Analogy",OR($H410="—",$H410="")),1,0)</f>
        <v>0</v>
      </c>
      <c r="X410" s="186" t="n">
        <f aca="false">IF(AND(OR($F410="Analogy",$F410="Assumed"),$G410&lt;&gt;"低",$G410&lt;&gt;"高",NOT(ISNUMBER($K410)),NOT(ISNUMBER($L410)),OR($M410="—",$M410="")),1,0)</f>
        <v>0</v>
      </c>
      <c r="Y410" s="186" t="n">
        <f aca="false">IF(AND(OR($F410="Analogy",$F410="Assumed",$F410="Derived（待改公式）",$F410="Derived（公式）"),OR($N410="—",$N410="",$N410=0)),1,0)</f>
        <v>0</v>
      </c>
      <c r="Z410" s="186" t="n">
        <f aca="false">IF(AND($F410="Decision",OR($J410="—",$J410="")),1,0)</f>
        <v>0</v>
      </c>
      <c r="AA410" s="183" t="n">
        <f aca="false">IF(OR($J410="—",$J410=""),0,IF(COUNTIF(Decisions!$A$5:$A$300,$J410)=0,1,0))</f>
        <v>0</v>
      </c>
      <c r="AB410" s="186" t="n">
        <f aca="false">IF(AND($F410="原始數據",$S410&lt;&gt;"Active"),1,0)</f>
        <v>0</v>
      </c>
      <c r="AC410" s="186" t="n">
        <f aca="false">IF(AND(ISNUMBER($K410),ISNUMBER($L410),ISNUMBER($Q410)),IF(OR($Q410&lt;MIN($K410,$L410),$Q410&gt;MAX($K410,$L410)),1,0),0)</f>
        <v>0</v>
      </c>
      <c r="AD410" s="186" t="n">
        <f aca="false">IF(AND(ISNUMBER($T410),$P410="高"),IF($T410=3,1,0),0)</f>
        <v>0</v>
      </c>
      <c r="AE410" s="186" t="n">
        <f aca="false">IF($S410="不存在",1,0)</f>
        <v>0</v>
      </c>
      <c r="AF410" s="35" t="str">
        <f aca="false">IF(OR($H410="—",$H410=""),"—",MATCH($H410,IDX_SrcID,0))</f>
        <v>—</v>
      </c>
      <c r="AG410" s="104" t="n">
        <f aca="false">IF(AND($P410="高",OR($AD410=1,$X410=1)),1,0)</f>
        <v>0</v>
      </c>
      <c r="AH410" s="104" t="n">
        <f aca="false">IF(AND($P410="高",$AG410=0,OR($F410&lt;&gt;"原始數據",$T410&lt;&gt;1)),1,0)</f>
        <v>0</v>
      </c>
      <c r="AI410" s="53" t="str">
        <f aca="false">IF(AND($P410="高",ISNUMBER($AF410)),INDEX(IDX_SrcDate,$AF410),"—")</f>
        <v>—</v>
      </c>
      <c r="AJ410" s="104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6" t="s">
        <v>4157</v>
      </c>
      <c r="B411" s="215" t="s">
        <v>3183</v>
      </c>
      <c r="C411" s="36" t="s">
        <v>4131</v>
      </c>
      <c r="D411" s="36" t="s">
        <v>3063</v>
      </c>
      <c r="E411" s="6" t="s">
        <v>2815</v>
      </c>
      <c r="F411" s="36" t="s">
        <v>80</v>
      </c>
      <c r="G411" s="215" t="s">
        <v>1115</v>
      </c>
      <c r="H411" s="36" t="s">
        <v>587</v>
      </c>
      <c r="I411" s="6" t="s">
        <v>587</v>
      </c>
      <c r="J411" s="36" t="s">
        <v>587</v>
      </c>
      <c r="K411" s="215"/>
      <c r="L411" s="215"/>
      <c r="M411" s="36" t="s">
        <v>587</v>
      </c>
      <c r="N411" s="216" t="str">
        <f aca="false">NonNV!$L$8</f>
        <v>高互動性利基；每 GW 吞吐低、單用戶速度高</v>
      </c>
      <c r="O411" s="6" t="s">
        <v>587</v>
      </c>
      <c r="P411" s="215" t="s">
        <v>3188</v>
      </c>
      <c r="Q411" s="175" t="n">
        <f aca="false">NonNV!E8</f>
        <v>0.8</v>
      </c>
      <c r="R411" s="36" t="s">
        <v>587</v>
      </c>
      <c r="S411" s="35" t="str">
        <f aca="false">IF(ISNUMBER($AF411),INDEX(IDX_SrcStat,$AF411),"—")</f>
        <v>—</v>
      </c>
      <c r="T411" s="35" t="str">
        <f aca="false">IF(ISNUMBER($AF411),INDEX(IDX_SrcGrade,$AF411),"—")</f>
        <v>—</v>
      </c>
      <c r="U411" s="35" t="s">
        <v>3189</v>
      </c>
      <c r="V411" s="186" t="n">
        <f aca="false">IF(AND($F411="原始數據",$U411&lt;&gt;"連結 SRC"),1,0)</f>
        <v>0</v>
      </c>
      <c r="W411" s="186" t="n">
        <f aca="false">IF(AND($F411="Analogy",OR($H411="—",$H411="")),1,0)</f>
        <v>0</v>
      </c>
      <c r="X411" s="186" t="n">
        <f aca="false">IF(AND(OR($F411="Analogy",$F411="Assumed"),$G411&lt;&gt;"低",$G411&lt;&gt;"高",NOT(ISNUMBER($K411)),NOT(ISNUMBER($L411)),OR($M411="—",$M411="")),1,0)</f>
        <v>0</v>
      </c>
      <c r="Y411" s="186" t="n">
        <f aca="false">IF(AND(OR($F411="Analogy",$F411="Assumed",$F411="Derived（待改公式）",$F411="Derived（公式）"),OR($N411="—",$N411="",$N411=0)),1,0)</f>
        <v>0</v>
      </c>
      <c r="Z411" s="186" t="n">
        <f aca="false">IF(AND($F411="Decision",OR($J411="—",$J411="")),1,0)</f>
        <v>0</v>
      </c>
      <c r="AA411" s="183" t="n">
        <f aca="false">IF(OR($J411="—",$J411=""),0,IF(COUNTIF(Decisions!$A$5:$A$300,$J411)=0,1,0))</f>
        <v>0</v>
      </c>
      <c r="AB411" s="186" t="n">
        <f aca="false">IF(AND($F411="原始數據",$S411&lt;&gt;"Active"),1,0)</f>
        <v>0</v>
      </c>
      <c r="AC411" s="186" t="n">
        <f aca="false">IF(AND(ISNUMBER($K411),ISNUMBER($L411),ISNUMBER($Q411)),IF(OR($Q411&lt;MIN($K411,$L411),$Q411&gt;MAX($K411,$L411)),1,0),0)</f>
        <v>0</v>
      </c>
      <c r="AD411" s="186" t="n">
        <f aca="false">IF(AND(ISNUMBER($T411),$P411="高"),IF($T411=3,1,0),0)</f>
        <v>0</v>
      </c>
      <c r="AE411" s="186" t="n">
        <f aca="false">IF($S411="不存在",1,0)</f>
        <v>0</v>
      </c>
      <c r="AF411" s="35" t="str">
        <f aca="false">IF(OR($H411="—",$H411=""),"—",MATCH($H411,IDX_SrcID,0))</f>
        <v>—</v>
      </c>
      <c r="AG411" s="104" t="n">
        <f aca="false">IF(AND($P411="高",OR($AD411=1,$X411=1)),1,0)</f>
        <v>0</v>
      </c>
      <c r="AH411" s="104" t="n">
        <f aca="false">IF(AND($P411="高",$AG411=0,OR($F411&lt;&gt;"原始數據",$T411&lt;&gt;1)),1,0)</f>
        <v>0</v>
      </c>
      <c r="AI411" s="53" t="str">
        <f aca="false">IF(AND($P411="高",ISNUMBER($AF411)),INDEX(IDX_SrcDate,$AF411),"—")</f>
        <v>—</v>
      </c>
      <c r="AJ411" s="104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6" t="s">
        <v>4158</v>
      </c>
      <c r="B412" s="215" t="s">
        <v>3183</v>
      </c>
      <c r="C412" s="36" t="s">
        <v>4131</v>
      </c>
      <c r="D412" s="36" t="s">
        <v>3366</v>
      </c>
      <c r="E412" s="6" t="s">
        <v>2815</v>
      </c>
      <c r="F412" s="36" t="s">
        <v>80</v>
      </c>
      <c r="G412" s="215" t="s">
        <v>1116</v>
      </c>
      <c r="H412" s="36" t="s">
        <v>587</v>
      </c>
      <c r="I412" s="6" t="s">
        <v>587</v>
      </c>
      <c r="J412" s="36" t="s">
        <v>587</v>
      </c>
      <c r="K412" s="215"/>
      <c r="L412" s="215"/>
      <c r="M412" s="36" t="s">
        <v>587</v>
      </c>
      <c r="N412" s="216" t="str">
        <f aca="false">NonNV!$L$8</f>
        <v>高互動性利基；每 GW 吞吐低、單用戶速度高</v>
      </c>
      <c r="O412" s="6" t="s">
        <v>587</v>
      </c>
      <c r="P412" s="215" t="s">
        <v>3188</v>
      </c>
      <c r="Q412" s="175" t="n">
        <f aca="false">NonNV!G8</f>
        <v>1.2</v>
      </c>
      <c r="R412" s="36" t="s">
        <v>587</v>
      </c>
      <c r="S412" s="35" t="str">
        <f aca="false">IF(ISNUMBER($AF412),INDEX(IDX_SrcStat,$AF412),"—")</f>
        <v>—</v>
      </c>
      <c r="T412" s="35" t="str">
        <f aca="false">IF(ISNUMBER($AF412),INDEX(IDX_SrcGrade,$AF412),"—")</f>
        <v>—</v>
      </c>
      <c r="U412" s="35" t="s">
        <v>3189</v>
      </c>
      <c r="V412" s="186" t="n">
        <f aca="false">IF(AND($F412="原始數據",$U412&lt;&gt;"連結 SRC"),1,0)</f>
        <v>0</v>
      </c>
      <c r="W412" s="186" t="n">
        <f aca="false">IF(AND($F412="Analogy",OR($H412="—",$H412="")),1,0)</f>
        <v>0</v>
      </c>
      <c r="X412" s="186" t="n">
        <f aca="false">IF(AND(OR($F412="Analogy",$F412="Assumed"),$G412&lt;&gt;"低",$G412&lt;&gt;"高",NOT(ISNUMBER($K412)),NOT(ISNUMBER($L412)),OR($M412="—",$M412="")),1,0)</f>
        <v>0</v>
      </c>
      <c r="Y412" s="186" t="n">
        <f aca="false">IF(AND(OR($F412="Analogy",$F412="Assumed",$F412="Derived（待改公式）",$F412="Derived（公式）"),OR($N412="—",$N412="",$N412=0)),1,0)</f>
        <v>0</v>
      </c>
      <c r="Z412" s="186" t="n">
        <f aca="false">IF(AND($F412="Decision",OR($J412="—",$J412="")),1,0)</f>
        <v>0</v>
      </c>
      <c r="AA412" s="183" t="n">
        <f aca="false">IF(OR($J412="—",$J412=""),0,IF(COUNTIF(Decisions!$A$5:$A$300,$J412)=0,1,0))</f>
        <v>0</v>
      </c>
      <c r="AB412" s="186" t="n">
        <f aca="false">IF(AND($F412="原始數據",$S412&lt;&gt;"Active"),1,0)</f>
        <v>0</v>
      </c>
      <c r="AC412" s="186" t="n">
        <f aca="false">IF(AND(ISNUMBER($K412),ISNUMBER($L412),ISNUMBER($Q412)),IF(OR($Q412&lt;MIN($K412,$L412),$Q412&gt;MAX($K412,$L412)),1,0),0)</f>
        <v>0</v>
      </c>
      <c r="AD412" s="186" t="n">
        <f aca="false">IF(AND(ISNUMBER($T412),$P412="高"),IF($T412=3,1,0),0)</f>
        <v>0</v>
      </c>
      <c r="AE412" s="186" t="n">
        <f aca="false">IF($S412="不存在",1,0)</f>
        <v>0</v>
      </c>
      <c r="AF412" s="35" t="str">
        <f aca="false">IF(OR($H412="—",$H412=""),"—",MATCH($H412,IDX_SrcID,0))</f>
        <v>—</v>
      </c>
      <c r="AG412" s="104" t="n">
        <f aca="false">IF(AND($P412="高",OR($AD412=1,$X412=1)),1,0)</f>
        <v>0</v>
      </c>
      <c r="AH412" s="104" t="n">
        <f aca="false">IF(AND($P412="高",$AG412=0,OR($F412&lt;&gt;"原始數據",$T412&lt;&gt;1)),1,0)</f>
        <v>0</v>
      </c>
      <c r="AI412" s="53" t="str">
        <f aca="false">IF(AND($P412="高",ISNUMBER($AF412)),INDEX(IDX_SrcDate,$AF412),"—")</f>
        <v>—</v>
      </c>
      <c r="AJ412" s="104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6" t="s">
        <v>4159</v>
      </c>
      <c r="B413" s="215" t="s">
        <v>3183</v>
      </c>
      <c r="C413" s="36" t="s">
        <v>4131</v>
      </c>
      <c r="D413" s="36" t="s">
        <v>3369</v>
      </c>
      <c r="E413" s="6" t="s">
        <v>2817</v>
      </c>
      <c r="F413" s="36" t="s">
        <v>80</v>
      </c>
      <c r="G413" s="215" t="s">
        <v>65</v>
      </c>
      <c r="H413" s="36" t="s">
        <v>587</v>
      </c>
      <c r="I413" s="6" t="s">
        <v>587</v>
      </c>
      <c r="J413" s="36" t="s">
        <v>587</v>
      </c>
      <c r="K413" s="175" t="n">
        <f aca="false">NonNV!B9</f>
        <v>0.4</v>
      </c>
      <c r="L413" s="175" t="n">
        <f aca="false">NonNV!D9</f>
        <v>0.9</v>
      </c>
      <c r="M413" s="36" t="s">
        <v>587</v>
      </c>
      <c r="N413" s="216" t="str">
        <f aca="false">NonNV!$L$9</f>
        <v>無公開規格；沿用 v0.5「自研／其他 0.6（0.4–1.0）」</v>
      </c>
      <c r="O413" s="6" t="s">
        <v>587</v>
      </c>
      <c r="P413" s="215" t="s">
        <v>3188</v>
      </c>
      <c r="Q413" s="175" t="n">
        <f aca="false">NonNV!C9</f>
        <v>0.6</v>
      </c>
      <c r="R413" s="36" t="s">
        <v>587</v>
      </c>
      <c r="S413" s="35" t="str">
        <f aca="false">IF(ISNUMBER($AF413),INDEX(IDX_SrcStat,$AF413),"—")</f>
        <v>—</v>
      </c>
      <c r="T413" s="35" t="str">
        <f aca="false">IF(ISNUMBER($AF413),INDEX(IDX_SrcGrade,$AF413),"—")</f>
        <v>—</v>
      </c>
      <c r="U413" s="35" t="s">
        <v>3189</v>
      </c>
      <c r="V413" s="186" t="n">
        <f aca="false">IF(AND($F413="原始數據",$U413&lt;&gt;"連結 SRC"),1,0)</f>
        <v>0</v>
      </c>
      <c r="W413" s="186" t="n">
        <f aca="false">IF(AND($F413="Analogy",OR($H413="—",$H413="")),1,0)</f>
        <v>0</v>
      </c>
      <c r="X413" s="186" t="n">
        <f aca="false">IF(AND(OR($F413="Analogy",$F413="Assumed"),$G413&lt;&gt;"低",$G413&lt;&gt;"高",NOT(ISNUMBER($K413)),NOT(ISNUMBER($L413)),OR($M413="—",$M413="")),1,0)</f>
        <v>0</v>
      </c>
      <c r="Y413" s="186" t="n">
        <f aca="false">IF(AND(OR($F413="Analogy",$F413="Assumed",$F413="Derived（待改公式）",$F413="Derived（公式）"),OR($N413="—",$N413="",$N413=0)),1,0)</f>
        <v>0</v>
      </c>
      <c r="Z413" s="186" t="n">
        <f aca="false">IF(AND($F413="Decision",OR($J413="—",$J413="")),1,0)</f>
        <v>0</v>
      </c>
      <c r="AA413" s="183" t="n">
        <f aca="false">IF(OR($J413="—",$J413=""),0,IF(COUNTIF(Decisions!$A$5:$A$300,$J413)=0,1,0))</f>
        <v>0</v>
      </c>
      <c r="AB413" s="186" t="n">
        <f aca="false">IF(AND($F413="原始數據",$S413&lt;&gt;"Active"),1,0)</f>
        <v>0</v>
      </c>
      <c r="AC413" s="186" t="n">
        <f aca="false">IF(AND(ISNUMBER($K413),ISNUMBER($L413),ISNUMBER($Q413)),IF(OR($Q413&lt;MIN($K413,$L413),$Q413&gt;MAX($K413,$L413)),1,0),0)</f>
        <v>0</v>
      </c>
      <c r="AD413" s="186" t="n">
        <f aca="false">IF(AND(ISNUMBER($T413),$P413="高"),IF($T413=3,1,0),0)</f>
        <v>0</v>
      </c>
      <c r="AE413" s="186" t="n">
        <f aca="false">IF($S413="不存在",1,0)</f>
        <v>0</v>
      </c>
      <c r="AF413" s="35" t="str">
        <f aca="false">IF(OR($H413="—",$H413=""),"—",MATCH($H413,IDX_SrcID,0))</f>
        <v>—</v>
      </c>
      <c r="AG413" s="104" t="n">
        <f aca="false">IF(AND($P413="高",OR($AD413=1,$X413=1)),1,0)</f>
        <v>0</v>
      </c>
      <c r="AH413" s="104" t="n">
        <f aca="false">IF(AND($P413="高",$AG413=0,OR($F413&lt;&gt;"原始數據",$T413&lt;&gt;1)),1,0)</f>
        <v>0</v>
      </c>
      <c r="AI413" s="53" t="str">
        <f aca="false">IF(AND($P413="高",ISNUMBER($AF413)),INDEX(IDX_SrcDate,$AF413),"—")</f>
        <v>—</v>
      </c>
      <c r="AJ413" s="104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6" t="s">
        <v>4160</v>
      </c>
      <c r="B414" s="215" t="s">
        <v>3183</v>
      </c>
      <c r="C414" s="36" t="s">
        <v>4131</v>
      </c>
      <c r="D414" s="36" t="s">
        <v>3200</v>
      </c>
      <c r="E414" s="6" t="s">
        <v>2817</v>
      </c>
      <c r="F414" s="36" t="s">
        <v>80</v>
      </c>
      <c r="G414" s="215" t="s">
        <v>65</v>
      </c>
      <c r="H414" s="36" t="s">
        <v>587</v>
      </c>
      <c r="I414" s="6" t="s">
        <v>587</v>
      </c>
      <c r="J414" s="36" t="s">
        <v>587</v>
      </c>
      <c r="K414" s="175" t="n">
        <f aca="false">NonNV!E9</f>
        <v>0.7</v>
      </c>
      <c r="L414" s="175" t="n">
        <f aca="false">NonNV!G9</f>
        <v>1</v>
      </c>
      <c r="M414" s="36" t="s">
        <v>587</v>
      </c>
      <c r="N414" s="216" t="str">
        <f aca="false">NonNV!$L$9</f>
        <v>無公開規格；沿用 v0.5「自研／其他 0.6（0.4–1.0）」</v>
      </c>
      <c r="O414" s="6" t="s">
        <v>587</v>
      </c>
      <c r="P414" s="215" t="s">
        <v>3188</v>
      </c>
      <c r="Q414" s="175" t="n">
        <f aca="false">NonNV!F9</f>
        <v>0.8</v>
      </c>
      <c r="R414" s="36" t="s">
        <v>587</v>
      </c>
      <c r="S414" s="35" t="str">
        <f aca="false">IF(ISNUMBER($AF414),INDEX(IDX_SrcStat,$AF414),"—")</f>
        <v>—</v>
      </c>
      <c r="T414" s="35" t="str">
        <f aca="false">IF(ISNUMBER($AF414),INDEX(IDX_SrcGrade,$AF414),"—")</f>
        <v>—</v>
      </c>
      <c r="U414" s="35" t="s">
        <v>3189</v>
      </c>
      <c r="V414" s="186" t="n">
        <f aca="false">IF(AND($F414="原始數據",$U414&lt;&gt;"連結 SRC"),1,0)</f>
        <v>0</v>
      </c>
      <c r="W414" s="186" t="n">
        <f aca="false">IF(AND($F414="Analogy",OR($H414="—",$H414="")),1,0)</f>
        <v>0</v>
      </c>
      <c r="X414" s="186" t="n">
        <f aca="false">IF(AND(OR($F414="Analogy",$F414="Assumed"),$G414&lt;&gt;"低",$G414&lt;&gt;"高",NOT(ISNUMBER($K414)),NOT(ISNUMBER($L414)),OR($M414="—",$M414="")),1,0)</f>
        <v>0</v>
      </c>
      <c r="Y414" s="186" t="n">
        <f aca="false">IF(AND(OR($F414="Analogy",$F414="Assumed",$F414="Derived（待改公式）",$F414="Derived（公式）"),OR($N414="—",$N414="",$N414=0)),1,0)</f>
        <v>0</v>
      </c>
      <c r="Z414" s="186" t="n">
        <f aca="false">IF(AND($F414="Decision",OR($J414="—",$J414="")),1,0)</f>
        <v>0</v>
      </c>
      <c r="AA414" s="183" t="n">
        <f aca="false">IF(OR($J414="—",$J414=""),0,IF(COUNTIF(Decisions!$A$5:$A$300,$J414)=0,1,0))</f>
        <v>0</v>
      </c>
      <c r="AB414" s="186" t="n">
        <f aca="false">IF(AND($F414="原始數據",$S414&lt;&gt;"Active"),1,0)</f>
        <v>0</v>
      </c>
      <c r="AC414" s="186" t="n">
        <f aca="false">IF(AND(ISNUMBER($K414),ISNUMBER($L414),ISNUMBER($Q414)),IF(OR($Q414&lt;MIN($K414,$L414),$Q414&gt;MAX($K414,$L414)),1,0),0)</f>
        <v>0</v>
      </c>
      <c r="AD414" s="186" t="n">
        <f aca="false">IF(AND(ISNUMBER($T414),$P414="高"),IF($T414=3,1,0),0)</f>
        <v>0</v>
      </c>
      <c r="AE414" s="186" t="n">
        <f aca="false">IF($S414="不存在",1,0)</f>
        <v>0</v>
      </c>
      <c r="AF414" s="35" t="str">
        <f aca="false">IF(OR($H414="—",$H414=""),"—",MATCH($H414,IDX_SrcID,0))</f>
        <v>—</v>
      </c>
      <c r="AG414" s="104" t="n">
        <f aca="false">IF(AND($P414="高",OR($AD414=1,$X414=1)),1,0)</f>
        <v>0</v>
      </c>
      <c r="AH414" s="104" t="n">
        <f aca="false">IF(AND($P414="高",$AG414=0,OR($F414&lt;&gt;"原始數據",$T414&lt;&gt;1)),1,0)</f>
        <v>0</v>
      </c>
      <c r="AI414" s="53" t="str">
        <f aca="false">IF(AND($P414="高",ISNUMBER($AF414)),INDEX(IDX_SrcDate,$AF414),"—")</f>
        <v>—</v>
      </c>
      <c r="AJ414" s="104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6" t="s">
        <v>4161</v>
      </c>
      <c r="B415" s="215" t="s">
        <v>3183</v>
      </c>
      <c r="C415" s="36" t="s">
        <v>4131</v>
      </c>
      <c r="D415" s="36" t="s">
        <v>4162</v>
      </c>
      <c r="E415" s="6" t="s">
        <v>2817</v>
      </c>
      <c r="F415" s="36" t="s">
        <v>80</v>
      </c>
      <c r="G415" s="215" t="s">
        <v>1115</v>
      </c>
      <c r="H415" s="36" t="s">
        <v>587</v>
      </c>
      <c r="I415" s="6" t="s">
        <v>587</v>
      </c>
      <c r="J415" s="36" t="s">
        <v>587</v>
      </c>
      <c r="K415" s="215"/>
      <c r="L415" s="215"/>
      <c r="M415" s="36" t="s">
        <v>587</v>
      </c>
      <c r="N415" s="216" t="str">
        <f aca="false">NonNV!$L$9</f>
        <v>無公開規格；沿用 v0.5「自研／其他 0.6（0.4–1.0）」</v>
      </c>
      <c r="O415" s="6" t="s">
        <v>587</v>
      </c>
      <c r="P415" s="215" t="s">
        <v>3188</v>
      </c>
      <c r="Q415" s="175" t="n">
        <f aca="false">NonNV!B9</f>
        <v>0.4</v>
      </c>
      <c r="R415" s="36" t="s">
        <v>587</v>
      </c>
      <c r="S415" s="35" t="str">
        <f aca="false">IF(ISNUMBER($AF415),INDEX(IDX_SrcStat,$AF415),"—")</f>
        <v>—</v>
      </c>
      <c r="T415" s="35" t="str">
        <f aca="false">IF(ISNUMBER($AF415),INDEX(IDX_SrcGrade,$AF415),"—")</f>
        <v>—</v>
      </c>
      <c r="U415" s="35" t="s">
        <v>3189</v>
      </c>
      <c r="V415" s="186" t="n">
        <f aca="false">IF(AND($F415="原始數據",$U415&lt;&gt;"連結 SRC"),1,0)</f>
        <v>0</v>
      </c>
      <c r="W415" s="186" t="n">
        <f aca="false">IF(AND($F415="Analogy",OR($H415="—",$H415="")),1,0)</f>
        <v>0</v>
      </c>
      <c r="X415" s="186" t="n">
        <f aca="false">IF(AND(OR($F415="Analogy",$F415="Assumed"),$G415&lt;&gt;"低",$G415&lt;&gt;"高",NOT(ISNUMBER($K415)),NOT(ISNUMBER($L415)),OR($M415="—",$M415="")),1,0)</f>
        <v>0</v>
      </c>
      <c r="Y415" s="186" t="n">
        <f aca="false">IF(AND(OR($F415="Analogy",$F415="Assumed",$F415="Derived（待改公式）",$F415="Derived（公式）"),OR($N415="—",$N415="",$N415=0)),1,0)</f>
        <v>0</v>
      </c>
      <c r="Z415" s="186" t="n">
        <f aca="false">IF(AND($F415="Decision",OR($J415="—",$J415="")),1,0)</f>
        <v>0</v>
      </c>
      <c r="AA415" s="183" t="n">
        <f aca="false">IF(OR($J415="—",$J415=""),0,IF(COUNTIF(Decisions!$A$5:$A$300,$J415)=0,1,0))</f>
        <v>0</v>
      </c>
      <c r="AB415" s="186" t="n">
        <f aca="false">IF(AND($F415="原始數據",$S415&lt;&gt;"Active"),1,0)</f>
        <v>0</v>
      </c>
      <c r="AC415" s="186" t="n">
        <f aca="false">IF(AND(ISNUMBER($K415),ISNUMBER($L415),ISNUMBER($Q415)),IF(OR($Q415&lt;MIN($K415,$L415),$Q415&gt;MAX($K415,$L415)),1,0),0)</f>
        <v>0</v>
      </c>
      <c r="AD415" s="186" t="n">
        <f aca="false">IF(AND(ISNUMBER($T415),$P415="高"),IF($T415=3,1,0),0)</f>
        <v>0</v>
      </c>
      <c r="AE415" s="186" t="n">
        <f aca="false">IF($S415="不存在",1,0)</f>
        <v>0</v>
      </c>
      <c r="AF415" s="35" t="str">
        <f aca="false">IF(OR($H415="—",$H415=""),"—",MATCH($H415,IDX_SrcID,0))</f>
        <v>—</v>
      </c>
      <c r="AG415" s="104" t="n">
        <f aca="false">IF(AND($P415="高",OR($AD415=1,$X415=1)),1,0)</f>
        <v>0</v>
      </c>
      <c r="AH415" s="104" t="n">
        <f aca="false">IF(AND($P415="高",$AG415=0,OR($F415&lt;&gt;"原始數據",$T415&lt;&gt;1)),1,0)</f>
        <v>0</v>
      </c>
      <c r="AI415" s="53" t="str">
        <f aca="false">IF(AND($P415="高",ISNUMBER($AF415)),INDEX(IDX_SrcDate,$AF415),"—")</f>
        <v>—</v>
      </c>
      <c r="AJ415" s="104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6" t="s">
        <v>4163</v>
      </c>
      <c r="B416" s="215" t="s">
        <v>3183</v>
      </c>
      <c r="C416" s="36" t="s">
        <v>4131</v>
      </c>
      <c r="D416" s="36" t="s">
        <v>3198</v>
      </c>
      <c r="E416" s="6" t="s">
        <v>2817</v>
      </c>
      <c r="F416" s="36" t="s">
        <v>80</v>
      </c>
      <c r="G416" s="215" t="s">
        <v>1116</v>
      </c>
      <c r="H416" s="36" t="s">
        <v>587</v>
      </c>
      <c r="I416" s="6" t="s">
        <v>587</v>
      </c>
      <c r="J416" s="36" t="s">
        <v>587</v>
      </c>
      <c r="K416" s="215"/>
      <c r="L416" s="215"/>
      <c r="M416" s="36" t="s">
        <v>587</v>
      </c>
      <c r="N416" s="216" t="str">
        <f aca="false">NonNV!$L$9</f>
        <v>無公開規格；沿用 v0.5「自研／其他 0.6（0.4–1.0）」</v>
      </c>
      <c r="O416" s="6" t="s">
        <v>587</v>
      </c>
      <c r="P416" s="215" t="s">
        <v>3188</v>
      </c>
      <c r="Q416" s="175" t="n">
        <f aca="false">NonNV!D9</f>
        <v>0.9</v>
      </c>
      <c r="R416" s="36" t="s">
        <v>587</v>
      </c>
      <c r="S416" s="35" t="str">
        <f aca="false">IF(ISNUMBER($AF416),INDEX(IDX_SrcStat,$AF416),"—")</f>
        <v>—</v>
      </c>
      <c r="T416" s="35" t="str">
        <f aca="false">IF(ISNUMBER($AF416),INDEX(IDX_SrcGrade,$AF416),"—")</f>
        <v>—</v>
      </c>
      <c r="U416" s="35" t="s">
        <v>3189</v>
      </c>
      <c r="V416" s="186" t="n">
        <f aca="false">IF(AND($F416="原始數據",$U416&lt;&gt;"連結 SRC"),1,0)</f>
        <v>0</v>
      </c>
      <c r="W416" s="186" t="n">
        <f aca="false">IF(AND($F416="Analogy",OR($H416="—",$H416="")),1,0)</f>
        <v>0</v>
      </c>
      <c r="X416" s="186" t="n">
        <f aca="false">IF(AND(OR($F416="Analogy",$F416="Assumed"),$G416&lt;&gt;"低",$G416&lt;&gt;"高",NOT(ISNUMBER($K416)),NOT(ISNUMBER($L416)),OR($M416="—",$M416="")),1,0)</f>
        <v>0</v>
      </c>
      <c r="Y416" s="186" t="n">
        <f aca="false">IF(AND(OR($F416="Analogy",$F416="Assumed",$F416="Derived（待改公式）",$F416="Derived（公式）"),OR($N416="—",$N416="",$N416=0)),1,0)</f>
        <v>0</v>
      </c>
      <c r="Z416" s="186" t="n">
        <f aca="false">IF(AND($F416="Decision",OR($J416="—",$J416="")),1,0)</f>
        <v>0</v>
      </c>
      <c r="AA416" s="183" t="n">
        <f aca="false">IF(OR($J416="—",$J416=""),0,IF(COUNTIF(Decisions!$A$5:$A$300,$J416)=0,1,0))</f>
        <v>0</v>
      </c>
      <c r="AB416" s="186" t="n">
        <f aca="false">IF(AND($F416="原始數據",$S416&lt;&gt;"Active"),1,0)</f>
        <v>0</v>
      </c>
      <c r="AC416" s="186" t="n">
        <f aca="false">IF(AND(ISNUMBER($K416),ISNUMBER($L416),ISNUMBER($Q416)),IF(OR($Q416&lt;MIN($K416,$L416),$Q416&gt;MAX($K416,$L416)),1,0),0)</f>
        <v>0</v>
      </c>
      <c r="AD416" s="186" t="n">
        <f aca="false">IF(AND(ISNUMBER($T416),$P416="高"),IF($T416=3,1,0),0)</f>
        <v>0</v>
      </c>
      <c r="AE416" s="186" t="n">
        <f aca="false">IF($S416="不存在",1,0)</f>
        <v>0</v>
      </c>
      <c r="AF416" s="35" t="str">
        <f aca="false">IF(OR($H416="—",$H416=""),"—",MATCH($H416,IDX_SrcID,0))</f>
        <v>—</v>
      </c>
      <c r="AG416" s="104" t="n">
        <f aca="false">IF(AND($P416="高",OR($AD416=1,$X416=1)),1,0)</f>
        <v>0</v>
      </c>
      <c r="AH416" s="104" t="n">
        <f aca="false">IF(AND($P416="高",$AG416=0,OR($F416&lt;&gt;"原始數據",$T416&lt;&gt;1)),1,0)</f>
        <v>0</v>
      </c>
      <c r="AI416" s="53" t="str">
        <f aca="false">IF(AND($P416="高",ISNUMBER($AF416)),INDEX(IDX_SrcDate,$AF416),"—")</f>
        <v>—</v>
      </c>
      <c r="AJ416" s="104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6" t="s">
        <v>4164</v>
      </c>
      <c r="B417" s="215" t="s">
        <v>3183</v>
      </c>
      <c r="C417" s="36" t="s">
        <v>4131</v>
      </c>
      <c r="D417" s="36" t="s">
        <v>3066</v>
      </c>
      <c r="E417" s="6" t="s">
        <v>2817</v>
      </c>
      <c r="F417" s="36" t="s">
        <v>80</v>
      </c>
      <c r="G417" s="215" t="s">
        <v>1115</v>
      </c>
      <c r="H417" s="36" t="s">
        <v>587</v>
      </c>
      <c r="I417" s="6" t="s">
        <v>587</v>
      </c>
      <c r="J417" s="36" t="s">
        <v>587</v>
      </c>
      <c r="K417" s="215"/>
      <c r="L417" s="215"/>
      <c r="M417" s="36" t="s">
        <v>587</v>
      </c>
      <c r="N417" s="216" t="str">
        <f aca="false">NonNV!$L$9</f>
        <v>無公開規格；沿用 v0.5「自研／其他 0.6（0.4–1.0）」</v>
      </c>
      <c r="O417" s="6" t="s">
        <v>587</v>
      </c>
      <c r="P417" s="215" t="s">
        <v>3188</v>
      </c>
      <c r="Q417" s="175" t="n">
        <f aca="false">NonNV!E9</f>
        <v>0.7</v>
      </c>
      <c r="R417" s="36" t="s">
        <v>587</v>
      </c>
      <c r="S417" s="35" t="str">
        <f aca="false">IF(ISNUMBER($AF417),INDEX(IDX_SrcStat,$AF417),"—")</f>
        <v>—</v>
      </c>
      <c r="T417" s="35" t="str">
        <f aca="false">IF(ISNUMBER($AF417),INDEX(IDX_SrcGrade,$AF417),"—")</f>
        <v>—</v>
      </c>
      <c r="U417" s="35" t="s">
        <v>3189</v>
      </c>
      <c r="V417" s="186" t="n">
        <f aca="false">IF(AND($F417="原始數據",$U417&lt;&gt;"連結 SRC"),1,0)</f>
        <v>0</v>
      </c>
      <c r="W417" s="186" t="n">
        <f aca="false">IF(AND($F417="Analogy",OR($H417="—",$H417="")),1,0)</f>
        <v>0</v>
      </c>
      <c r="X417" s="186" t="n">
        <f aca="false">IF(AND(OR($F417="Analogy",$F417="Assumed"),$G417&lt;&gt;"低",$G417&lt;&gt;"高",NOT(ISNUMBER($K417)),NOT(ISNUMBER($L417)),OR($M417="—",$M417="")),1,0)</f>
        <v>0</v>
      </c>
      <c r="Y417" s="186" t="n">
        <f aca="false">IF(AND(OR($F417="Analogy",$F417="Assumed",$F417="Derived（待改公式）",$F417="Derived（公式）"),OR($N417="—",$N417="",$N417=0)),1,0)</f>
        <v>0</v>
      </c>
      <c r="Z417" s="186" t="n">
        <f aca="false">IF(AND($F417="Decision",OR($J417="—",$J417="")),1,0)</f>
        <v>0</v>
      </c>
      <c r="AA417" s="183" t="n">
        <f aca="false">IF(OR($J417="—",$J417=""),0,IF(COUNTIF(Decisions!$A$5:$A$300,$J417)=0,1,0))</f>
        <v>0</v>
      </c>
      <c r="AB417" s="186" t="n">
        <f aca="false">IF(AND($F417="原始數據",$S417&lt;&gt;"Active"),1,0)</f>
        <v>0</v>
      </c>
      <c r="AC417" s="186" t="n">
        <f aca="false">IF(AND(ISNUMBER($K417),ISNUMBER($L417),ISNUMBER($Q417)),IF(OR($Q417&lt;MIN($K417,$L417),$Q417&gt;MAX($K417,$L417)),1,0),0)</f>
        <v>0</v>
      </c>
      <c r="AD417" s="186" t="n">
        <f aca="false">IF(AND(ISNUMBER($T417),$P417="高"),IF($T417=3,1,0),0)</f>
        <v>0</v>
      </c>
      <c r="AE417" s="186" t="n">
        <f aca="false">IF($S417="不存在",1,0)</f>
        <v>0</v>
      </c>
      <c r="AF417" s="35" t="str">
        <f aca="false">IF(OR($H417="—",$H417=""),"—",MATCH($H417,IDX_SrcID,0))</f>
        <v>—</v>
      </c>
      <c r="AG417" s="104" t="n">
        <f aca="false">IF(AND($P417="高",OR($AD417=1,$X417=1)),1,0)</f>
        <v>0</v>
      </c>
      <c r="AH417" s="104" t="n">
        <f aca="false">IF(AND($P417="高",$AG417=0,OR($F417&lt;&gt;"原始數據",$T417&lt;&gt;1)),1,0)</f>
        <v>0</v>
      </c>
      <c r="AI417" s="53" t="str">
        <f aca="false">IF(AND($P417="高",ISNUMBER($AF417)),INDEX(IDX_SrcDate,$AF417),"—")</f>
        <v>—</v>
      </c>
      <c r="AJ417" s="104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6" t="s">
        <v>4165</v>
      </c>
      <c r="B418" s="215" t="s">
        <v>3183</v>
      </c>
      <c r="C418" s="36" t="s">
        <v>4131</v>
      </c>
      <c r="D418" s="36" t="s">
        <v>3384</v>
      </c>
      <c r="E418" s="6" t="s">
        <v>2817</v>
      </c>
      <c r="F418" s="36" t="s">
        <v>80</v>
      </c>
      <c r="G418" s="215" t="s">
        <v>1116</v>
      </c>
      <c r="H418" s="36" t="s">
        <v>587</v>
      </c>
      <c r="I418" s="6" t="s">
        <v>587</v>
      </c>
      <c r="J418" s="36" t="s">
        <v>587</v>
      </c>
      <c r="K418" s="215"/>
      <c r="L418" s="215"/>
      <c r="M418" s="36" t="s">
        <v>587</v>
      </c>
      <c r="N418" s="216" t="str">
        <f aca="false">NonNV!$L$9</f>
        <v>無公開規格；沿用 v0.5「自研／其他 0.6（0.4–1.0）」</v>
      </c>
      <c r="O418" s="6" t="s">
        <v>587</v>
      </c>
      <c r="P418" s="215" t="s">
        <v>3188</v>
      </c>
      <c r="Q418" s="175" t="n">
        <f aca="false">NonNV!G9</f>
        <v>1</v>
      </c>
      <c r="R418" s="36" t="s">
        <v>587</v>
      </c>
      <c r="S418" s="35" t="str">
        <f aca="false">IF(ISNUMBER($AF418),INDEX(IDX_SrcStat,$AF418),"—")</f>
        <v>—</v>
      </c>
      <c r="T418" s="35" t="str">
        <f aca="false">IF(ISNUMBER($AF418),INDEX(IDX_SrcGrade,$AF418),"—")</f>
        <v>—</v>
      </c>
      <c r="U418" s="35" t="s">
        <v>3189</v>
      </c>
      <c r="V418" s="186" t="n">
        <f aca="false">IF(AND($F418="原始數據",$U418&lt;&gt;"連結 SRC"),1,0)</f>
        <v>0</v>
      </c>
      <c r="W418" s="186" t="n">
        <f aca="false">IF(AND($F418="Analogy",OR($H418="—",$H418="")),1,0)</f>
        <v>0</v>
      </c>
      <c r="X418" s="186" t="n">
        <f aca="false">IF(AND(OR($F418="Analogy",$F418="Assumed"),$G418&lt;&gt;"低",$G418&lt;&gt;"高",NOT(ISNUMBER($K418)),NOT(ISNUMBER($L418)),OR($M418="—",$M418="")),1,0)</f>
        <v>0</v>
      </c>
      <c r="Y418" s="186" t="n">
        <f aca="false">IF(AND(OR($F418="Analogy",$F418="Assumed",$F418="Derived（待改公式）",$F418="Derived（公式）"),OR($N418="—",$N418="",$N418=0)),1,0)</f>
        <v>0</v>
      </c>
      <c r="Z418" s="186" t="n">
        <f aca="false">IF(AND($F418="Decision",OR($J418="—",$J418="")),1,0)</f>
        <v>0</v>
      </c>
      <c r="AA418" s="183" t="n">
        <f aca="false">IF(OR($J418="—",$J418=""),0,IF(COUNTIF(Decisions!$A$5:$A$300,$J418)=0,1,0))</f>
        <v>0</v>
      </c>
      <c r="AB418" s="186" t="n">
        <f aca="false">IF(AND($F418="原始數據",$S418&lt;&gt;"Active"),1,0)</f>
        <v>0</v>
      </c>
      <c r="AC418" s="186" t="n">
        <f aca="false">IF(AND(ISNUMBER($K418),ISNUMBER($L418),ISNUMBER($Q418)),IF(OR($Q418&lt;MIN($K418,$L418),$Q418&gt;MAX($K418,$L418)),1,0),0)</f>
        <v>0</v>
      </c>
      <c r="AD418" s="186" t="n">
        <f aca="false">IF(AND(ISNUMBER($T418),$P418="高"),IF($T418=3,1,0),0)</f>
        <v>0</v>
      </c>
      <c r="AE418" s="186" t="n">
        <f aca="false">IF($S418="不存在",1,0)</f>
        <v>0</v>
      </c>
      <c r="AF418" s="35" t="str">
        <f aca="false">IF(OR($H418="—",$H418=""),"—",MATCH($H418,IDX_SrcID,0))</f>
        <v>—</v>
      </c>
      <c r="AG418" s="104" t="n">
        <f aca="false">IF(AND($P418="高",OR($AD418=1,$X418=1)),1,0)</f>
        <v>0</v>
      </c>
      <c r="AH418" s="104" t="n">
        <f aca="false">IF(AND($P418="高",$AG418=0,OR($F418&lt;&gt;"原始數據",$T418&lt;&gt;1)),1,0)</f>
        <v>0</v>
      </c>
      <c r="AI418" s="53" t="str">
        <f aca="false">IF(AND($P418="高",ISNUMBER($AF418)),INDEX(IDX_SrcDate,$AF418),"—")</f>
        <v>—</v>
      </c>
      <c r="AJ418" s="104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6" t="s">
        <v>4166</v>
      </c>
      <c r="B419" s="215" t="s">
        <v>3183</v>
      </c>
      <c r="C419" s="36" t="s">
        <v>4167</v>
      </c>
      <c r="D419" s="36" t="s">
        <v>4168</v>
      </c>
      <c r="E419" s="19" t="s">
        <v>419</v>
      </c>
      <c r="F419" s="215" t="s">
        <v>3929</v>
      </c>
      <c r="G419" s="215" t="s">
        <v>3930</v>
      </c>
      <c r="H419" s="36" t="s">
        <v>587</v>
      </c>
      <c r="I419" s="6" t="s">
        <v>587</v>
      </c>
      <c r="J419" s="36" t="s">
        <v>587</v>
      </c>
      <c r="K419" s="215"/>
      <c r="L419" s="215"/>
      <c r="M419" s="36" t="s">
        <v>587</v>
      </c>
      <c r="N419" s="19" t="s">
        <v>4169</v>
      </c>
      <c r="O419" s="6" t="s">
        <v>587</v>
      </c>
      <c r="P419" s="36" t="s">
        <v>587</v>
      </c>
      <c r="Q419" s="185" t="s">
        <v>587</v>
      </c>
      <c r="R419" s="36" t="s">
        <v>587</v>
      </c>
      <c r="S419" s="35" t="str">
        <f aca="false">IF(ISNUMBER($AF419),INDEX(IDX_SrcStat,$AF419),"—")</f>
        <v>—</v>
      </c>
      <c r="T419" s="35" t="str">
        <f aca="false">IF(ISNUMBER($AF419),INDEX(IDX_SrcGrade,$AF419),"—")</f>
        <v>—</v>
      </c>
      <c r="U419" s="36" t="s">
        <v>587</v>
      </c>
      <c r="V419" s="186" t="n">
        <f aca="false">IF(AND($F419="原始數據",$U419&lt;&gt;"連結 SRC"),1,0)</f>
        <v>0</v>
      </c>
      <c r="W419" s="186" t="n">
        <f aca="false">IF(AND($F419="Analogy",OR($H419="—",$H419="")),1,0)</f>
        <v>0</v>
      </c>
      <c r="X419" s="186" t="n">
        <f aca="false">IF(AND(OR($F419="Analogy",$F419="Assumed"),$G419&lt;&gt;"低",$G419&lt;&gt;"高",NOT(ISNUMBER($K419)),NOT(ISNUMBER($L419)),OR($M419="—",$M419="")),1,0)</f>
        <v>0</v>
      </c>
      <c r="Y419" s="186" t="n">
        <f aca="false">IF(AND(OR($F419="Analogy",$F419="Assumed",$F419="Derived（待改公式）",$F419="Derived（公式）"),OR($N419="—",$N419="",$N419=0)),1,0)</f>
        <v>0</v>
      </c>
      <c r="Z419" s="186" t="n">
        <f aca="false">IF(AND($F419="Decision",OR($J419="—",$J419="")),1,0)</f>
        <v>0</v>
      </c>
      <c r="AA419" s="183" t="n">
        <f aca="false">IF(OR($J419="—",$J419=""),0,IF(COUNTIF(Decisions!$A$5:$A$300,$J419)=0,1,0))</f>
        <v>0</v>
      </c>
      <c r="AB419" s="186" t="n">
        <f aca="false">IF(AND($F419="原始數據",$S419&lt;&gt;"Active"),1,0)</f>
        <v>0</v>
      </c>
      <c r="AC419" s="186" t="n">
        <f aca="false">IF(AND(ISNUMBER($K419),ISNUMBER($L419),ISNUMBER($Q419)),IF(OR($Q419&lt;MIN($K419,$L419),$Q419&gt;MAX($K419,$L419)),1,0),0)</f>
        <v>0</v>
      </c>
      <c r="AD419" s="186" t="n">
        <f aca="false">IF(AND(ISNUMBER($T419),$P419="高"),IF($T419=3,1,0),0)</f>
        <v>0</v>
      </c>
      <c r="AE419" s="186" t="n">
        <f aca="false">IF($S419="不存在",1,0)</f>
        <v>0</v>
      </c>
      <c r="AF419" s="35" t="str">
        <f aca="false">IF(OR($H419="—",$H419=""),"—",MATCH($H419,IDX_SrcID,0))</f>
        <v>—</v>
      </c>
      <c r="AG419" s="104" t="n">
        <f aca="false">IF(AND($P419="高",OR($AD419=1,$X419=1)),1,0)</f>
        <v>0</v>
      </c>
      <c r="AH419" s="104" t="n">
        <f aca="false">IF(AND($P419="高",$AG419=0,OR($F419&lt;&gt;"原始數據",$T419&lt;&gt;1)),1,0)</f>
        <v>0</v>
      </c>
      <c r="AI419" s="53" t="str">
        <f aca="false">IF(AND($P419="高",ISNUMBER($AF419)),INDEX(IDX_SrcDate,$AF419),"—")</f>
        <v>—</v>
      </c>
      <c r="AJ419" s="104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6" t="s">
        <v>4170</v>
      </c>
      <c r="B420" s="215" t="s">
        <v>3183</v>
      </c>
      <c r="C420" s="36" t="s">
        <v>4167</v>
      </c>
      <c r="D420" s="36" t="s">
        <v>4171</v>
      </c>
      <c r="E420" s="19" t="s">
        <v>690</v>
      </c>
      <c r="F420" s="215" t="s">
        <v>3929</v>
      </c>
      <c r="G420" s="215" t="s">
        <v>3930</v>
      </c>
      <c r="H420" s="36" t="s">
        <v>587</v>
      </c>
      <c r="I420" s="6" t="s">
        <v>587</v>
      </c>
      <c r="J420" s="36" t="s">
        <v>587</v>
      </c>
      <c r="K420" s="215"/>
      <c r="L420" s="215"/>
      <c r="M420" s="36" t="s">
        <v>587</v>
      </c>
      <c r="N420" s="19" t="s">
        <v>4169</v>
      </c>
      <c r="O420" s="6" t="s">
        <v>587</v>
      </c>
      <c r="P420" s="36" t="s">
        <v>587</v>
      </c>
      <c r="Q420" s="185" t="s">
        <v>587</v>
      </c>
      <c r="R420" s="36" t="s">
        <v>587</v>
      </c>
      <c r="S420" s="35" t="str">
        <f aca="false">IF(ISNUMBER($AF420),INDEX(IDX_SrcStat,$AF420),"—")</f>
        <v>—</v>
      </c>
      <c r="T420" s="35" t="str">
        <f aca="false">IF(ISNUMBER($AF420),INDEX(IDX_SrcGrade,$AF420),"—")</f>
        <v>—</v>
      </c>
      <c r="U420" s="36" t="s">
        <v>587</v>
      </c>
      <c r="V420" s="186" t="n">
        <f aca="false">IF(AND($F420="原始數據",$U420&lt;&gt;"連結 SRC"),1,0)</f>
        <v>0</v>
      </c>
      <c r="W420" s="186" t="n">
        <f aca="false">IF(AND($F420="Analogy",OR($H420="—",$H420="")),1,0)</f>
        <v>0</v>
      </c>
      <c r="X420" s="186" t="n">
        <f aca="false">IF(AND(OR($F420="Analogy",$F420="Assumed"),$G420&lt;&gt;"低",$G420&lt;&gt;"高",NOT(ISNUMBER($K420)),NOT(ISNUMBER($L420)),OR($M420="—",$M420="")),1,0)</f>
        <v>0</v>
      </c>
      <c r="Y420" s="186" t="n">
        <f aca="false">IF(AND(OR($F420="Analogy",$F420="Assumed",$F420="Derived（待改公式）",$F420="Derived（公式）"),OR($N420="—",$N420="",$N420=0)),1,0)</f>
        <v>0</v>
      </c>
      <c r="Z420" s="186" t="n">
        <f aca="false">IF(AND($F420="Decision",OR($J420="—",$J420="")),1,0)</f>
        <v>0</v>
      </c>
      <c r="AA420" s="183" t="n">
        <f aca="false">IF(OR($J420="—",$J420=""),0,IF(COUNTIF(Decisions!$A$5:$A$300,$J420)=0,1,0))</f>
        <v>0</v>
      </c>
      <c r="AB420" s="186" t="n">
        <f aca="false">IF(AND($F420="原始數據",$S420&lt;&gt;"Active"),1,0)</f>
        <v>0</v>
      </c>
      <c r="AC420" s="186" t="n">
        <f aca="false">IF(AND(ISNUMBER($K420),ISNUMBER($L420),ISNUMBER($Q420)),IF(OR($Q420&lt;MIN($K420,$L420),$Q420&gt;MAX($K420,$L420)),1,0),0)</f>
        <v>0</v>
      </c>
      <c r="AD420" s="186" t="n">
        <f aca="false">IF(AND(ISNUMBER($T420),$P420="高"),IF($T420=3,1,0),0)</f>
        <v>0</v>
      </c>
      <c r="AE420" s="186" t="n">
        <f aca="false">IF($S420="不存在",1,0)</f>
        <v>0</v>
      </c>
      <c r="AF420" s="35" t="str">
        <f aca="false">IF(OR($H420="—",$H420=""),"—",MATCH($H420,IDX_SrcID,0))</f>
        <v>—</v>
      </c>
      <c r="AG420" s="104" t="n">
        <f aca="false">IF(AND($P420="高",OR($AD420=1,$X420=1)),1,0)</f>
        <v>0</v>
      </c>
      <c r="AH420" s="104" t="n">
        <f aca="false">IF(AND($P420="高",$AG420=0,OR($F420&lt;&gt;"原始數據",$T420&lt;&gt;1)),1,0)</f>
        <v>0</v>
      </c>
      <c r="AI420" s="53" t="str">
        <f aca="false">IF(AND($P420="高",ISNUMBER($AF420)),INDEX(IDX_SrcDate,$AF420),"—")</f>
        <v>—</v>
      </c>
      <c r="AJ420" s="104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6" t="s">
        <v>4172</v>
      </c>
      <c r="B421" s="215" t="s">
        <v>3183</v>
      </c>
      <c r="C421" s="36" t="s">
        <v>2906</v>
      </c>
      <c r="D421" s="36" t="s">
        <v>4173</v>
      </c>
      <c r="E421" s="19" t="s">
        <v>419</v>
      </c>
      <c r="F421" s="215" t="s">
        <v>3929</v>
      </c>
      <c r="G421" s="215" t="s">
        <v>3930</v>
      </c>
      <c r="H421" s="36" t="s">
        <v>587</v>
      </c>
      <c r="I421" s="6" t="s">
        <v>587</v>
      </c>
      <c r="J421" s="36" t="s">
        <v>587</v>
      </c>
      <c r="K421" s="215"/>
      <c r="L421" s="215"/>
      <c r="M421" s="36" t="s">
        <v>587</v>
      </c>
      <c r="N421" s="19" t="s">
        <v>4169</v>
      </c>
      <c r="O421" s="6" t="s">
        <v>587</v>
      </c>
      <c r="P421" s="36" t="s">
        <v>587</v>
      </c>
      <c r="Q421" s="185" t="s">
        <v>587</v>
      </c>
      <c r="R421" s="36" t="s">
        <v>587</v>
      </c>
      <c r="S421" s="35" t="str">
        <f aca="false">IF(ISNUMBER($AF421),INDEX(IDX_SrcStat,$AF421),"—")</f>
        <v>—</v>
      </c>
      <c r="T421" s="35" t="str">
        <f aca="false">IF(ISNUMBER($AF421),INDEX(IDX_SrcGrade,$AF421),"—")</f>
        <v>—</v>
      </c>
      <c r="U421" s="36" t="s">
        <v>587</v>
      </c>
      <c r="V421" s="186" t="n">
        <f aca="false">IF(AND($F421="原始數據",$U421&lt;&gt;"連結 SRC"),1,0)</f>
        <v>0</v>
      </c>
      <c r="W421" s="186" t="n">
        <f aca="false">IF(AND($F421="Analogy",OR($H421="—",$H421="")),1,0)</f>
        <v>0</v>
      </c>
      <c r="X421" s="186" t="n">
        <f aca="false">IF(AND(OR($F421="Analogy",$F421="Assumed"),$G421&lt;&gt;"低",$G421&lt;&gt;"高",NOT(ISNUMBER($K421)),NOT(ISNUMBER($L421)),OR($M421="—",$M421="")),1,0)</f>
        <v>0</v>
      </c>
      <c r="Y421" s="186" t="n">
        <f aca="false">IF(AND(OR($F421="Analogy",$F421="Assumed",$F421="Derived（待改公式）",$F421="Derived（公式）"),OR($N421="—",$N421="",$N421=0)),1,0)</f>
        <v>0</v>
      </c>
      <c r="Z421" s="186" t="n">
        <f aca="false">IF(AND($F421="Decision",OR($J421="—",$J421="")),1,0)</f>
        <v>0</v>
      </c>
      <c r="AA421" s="183" t="n">
        <f aca="false">IF(OR($J421="—",$J421=""),0,IF(COUNTIF(Decisions!$A$5:$A$300,$J421)=0,1,0))</f>
        <v>0</v>
      </c>
      <c r="AB421" s="186" t="n">
        <f aca="false">IF(AND($F421="原始數據",$S421&lt;&gt;"Active"),1,0)</f>
        <v>0</v>
      </c>
      <c r="AC421" s="186" t="n">
        <f aca="false">IF(AND(ISNUMBER($K421),ISNUMBER($L421),ISNUMBER($Q421)),IF(OR($Q421&lt;MIN($K421,$L421),$Q421&gt;MAX($K421,$L421)),1,0),0)</f>
        <v>0</v>
      </c>
      <c r="AD421" s="186" t="n">
        <f aca="false">IF(AND(ISNUMBER($T421),$P421="高"),IF($T421=3,1,0),0)</f>
        <v>0</v>
      </c>
      <c r="AE421" s="186" t="n">
        <f aca="false">IF($S421="不存在",1,0)</f>
        <v>0</v>
      </c>
      <c r="AF421" s="35" t="str">
        <f aca="false">IF(OR($H421="—",$H421=""),"—",MATCH($H421,IDX_SrcID,0))</f>
        <v>—</v>
      </c>
      <c r="AG421" s="104" t="n">
        <f aca="false">IF(AND($P421="高",OR($AD421=1,$X421=1)),1,0)</f>
        <v>0</v>
      </c>
      <c r="AH421" s="104" t="n">
        <f aca="false">IF(AND($P421="高",$AG421=0,OR($F421&lt;&gt;"原始數據",$T421&lt;&gt;1)),1,0)</f>
        <v>0</v>
      </c>
      <c r="AI421" s="53" t="str">
        <f aca="false">IF(AND($P421="高",ISNUMBER($AF421)),INDEX(IDX_SrcDate,$AF421),"—")</f>
        <v>—</v>
      </c>
      <c r="AJ421" s="104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6" t="s">
        <v>4174</v>
      </c>
      <c r="B422" s="215" t="s">
        <v>3183</v>
      </c>
      <c r="C422" s="36" t="s">
        <v>2906</v>
      </c>
      <c r="D422" s="36" t="s">
        <v>4175</v>
      </c>
      <c r="E422" s="19" t="s">
        <v>690</v>
      </c>
      <c r="F422" s="215" t="s">
        <v>3929</v>
      </c>
      <c r="G422" s="215" t="s">
        <v>3930</v>
      </c>
      <c r="H422" s="36" t="s">
        <v>587</v>
      </c>
      <c r="I422" s="6" t="s">
        <v>587</v>
      </c>
      <c r="J422" s="36" t="s">
        <v>587</v>
      </c>
      <c r="K422" s="215"/>
      <c r="L422" s="215"/>
      <c r="M422" s="36" t="s">
        <v>587</v>
      </c>
      <c r="N422" s="19" t="s">
        <v>4169</v>
      </c>
      <c r="O422" s="6" t="s">
        <v>587</v>
      </c>
      <c r="P422" s="36" t="s">
        <v>587</v>
      </c>
      <c r="Q422" s="185" t="s">
        <v>587</v>
      </c>
      <c r="R422" s="36" t="s">
        <v>587</v>
      </c>
      <c r="S422" s="35" t="str">
        <f aca="false">IF(ISNUMBER($AF422),INDEX(IDX_SrcStat,$AF422),"—")</f>
        <v>—</v>
      </c>
      <c r="T422" s="35" t="str">
        <f aca="false">IF(ISNUMBER($AF422),INDEX(IDX_SrcGrade,$AF422),"—")</f>
        <v>—</v>
      </c>
      <c r="U422" s="36" t="s">
        <v>587</v>
      </c>
      <c r="V422" s="186" t="n">
        <f aca="false">IF(AND($F422="原始數據",$U422&lt;&gt;"連結 SRC"),1,0)</f>
        <v>0</v>
      </c>
      <c r="W422" s="186" t="n">
        <f aca="false">IF(AND($F422="Analogy",OR($H422="—",$H422="")),1,0)</f>
        <v>0</v>
      </c>
      <c r="X422" s="186" t="n">
        <f aca="false">IF(AND(OR($F422="Analogy",$F422="Assumed"),$G422&lt;&gt;"低",$G422&lt;&gt;"高",NOT(ISNUMBER($K422)),NOT(ISNUMBER($L422)),OR($M422="—",$M422="")),1,0)</f>
        <v>0</v>
      </c>
      <c r="Y422" s="186" t="n">
        <f aca="false">IF(AND(OR($F422="Analogy",$F422="Assumed",$F422="Derived（待改公式）",$F422="Derived（公式）"),OR($N422="—",$N422="",$N422=0)),1,0)</f>
        <v>0</v>
      </c>
      <c r="Z422" s="186" t="n">
        <f aca="false">IF(AND($F422="Decision",OR($J422="—",$J422="")),1,0)</f>
        <v>0</v>
      </c>
      <c r="AA422" s="183" t="n">
        <f aca="false">IF(OR($J422="—",$J422=""),0,IF(COUNTIF(Decisions!$A$5:$A$300,$J422)=0,1,0))</f>
        <v>0</v>
      </c>
      <c r="AB422" s="186" t="n">
        <f aca="false">IF(AND($F422="原始數據",$S422&lt;&gt;"Active"),1,0)</f>
        <v>0</v>
      </c>
      <c r="AC422" s="186" t="n">
        <f aca="false">IF(AND(ISNUMBER($K422),ISNUMBER($L422),ISNUMBER($Q422)),IF(OR($Q422&lt;MIN($K422,$L422),$Q422&gt;MAX($K422,$L422)),1,0),0)</f>
        <v>0</v>
      </c>
      <c r="AD422" s="186" t="n">
        <f aca="false">IF(AND(ISNUMBER($T422),$P422="高"),IF($T422=3,1,0),0)</f>
        <v>0</v>
      </c>
      <c r="AE422" s="186" t="n">
        <f aca="false">IF($S422="不存在",1,0)</f>
        <v>0</v>
      </c>
      <c r="AF422" s="35" t="str">
        <f aca="false">IF(OR($H422="—",$H422=""),"—",MATCH($H422,IDX_SrcID,0))</f>
        <v>—</v>
      </c>
      <c r="AG422" s="104" t="n">
        <f aca="false">IF(AND($P422="高",OR($AD422=1,$X422=1)),1,0)</f>
        <v>0</v>
      </c>
      <c r="AH422" s="104" t="n">
        <f aca="false">IF(AND($P422="高",$AG422=0,OR($F422&lt;&gt;"原始數據",$T422&lt;&gt;1)),1,0)</f>
        <v>0</v>
      </c>
      <c r="AI422" s="53" t="str">
        <f aca="false">IF(AND($P422="高",ISNUMBER($AF422)),INDEX(IDX_SrcDate,$AF422),"—")</f>
        <v>—</v>
      </c>
      <c r="AJ422" s="104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6" t="s">
        <v>4176</v>
      </c>
      <c r="B423" s="215" t="s">
        <v>3183</v>
      </c>
      <c r="C423" s="36" t="s">
        <v>2906</v>
      </c>
      <c r="D423" s="36" t="s">
        <v>4177</v>
      </c>
      <c r="E423" s="19" t="s">
        <v>442</v>
      </c>
      <c r="F423" s="215" t="s">
        <v>348</v>
      </c>
      <c r="G423" s="215" t="s">
        <v>3930</v>
      </c>
      <c r="H423" s="36" t="s">
        <v>587</v>
      </c>
      <c r="I423" s="6" t="s">
        <v>587</v>
      </c>
      <c r="J423" s="36" t="s">
        <v>587</v>
      </c>
      <c r="K423" s="215"/>
      <c r="L423" s="215"/>
      <c r="M423" s="36" t="s">
        <v>587</v>
      </c>
      <c r="N423" s="19" t="s">
        <v>4178</v>
      </c>
      <c r="O423" s="6" t="s">
        <v>587</v>
      </c>
      <c r="P423" s="215" t="s">
        <v>3188</v>
      </c>
      <c r="Q423" s="38" t="n">
        <f aca="false">Sens_Perf!M14</f>
        <v>50</v>
      </c>
      <c r="R423" s="36" t="s">
        <v>587</v>
      </c>
      <c r="S423" s="35" t="str">
        <f aca="false">IF(ISNUMBER($AF423),INDEX(IDX_SrcStat,$AF423),"—")</f>
        <v>—</v>
      </c>
      <c r="T423" s="35" t="str">
        <f aca="false">IF(ISNUMBER($AF423),INDEX(IDX_SrcGrade,$AF423),"—")</f>
        <v>—</v>
      </c>
      <c r="U423" s="35" t="s">
        <v>3189</v>
      </c>
      <c r="V423" s="186" t="n">
        <f aca="false">IF(AND($F423="原始數據",$U423&lt;&gt;"連結 SRC"),1,0)</f>
        <v>0</v>
      </c>
      <c r="W423" s="186" t="n">
        <f aca="false">IF(AND($F423="Analogy",OR($H423="—",$H423="")),1,0)</f>
        <v>0</v>
      </c>
      <c r="X423" s="186" t="n">
        <f aca="false">IF(AND(OR($F423="Analogy",$F423="Assumed"),$G423&lt;&gt;"低",$G423&lt;&gt;"高",NOT(ISNUMBER($K423)),NOT(ISNUMBER($L423)),OR($M423="—",$M423="")),1,0)</f>
        <v>0</v>
      </c>
      <c r="Y423" s="186" t="n">
        <f aca="false">IF(AND(OR($F423="Analogy",$F423="Assumed",$F423="Derived（待改公式）",$F423="Derived（公式）"),OR($N423="—",$N423="",$N423=0)),1,0)</f>
        <v>0</v>
      </c>
      <c r="Z423" s="186" t="n">
        <f aca="false">IF(AND($F423="Decision",OR($J423="—",$J423="")),1,0)</f>
        <v>0</v>
      </c>
      <c r="AA423" s="183" t="n">
        <f aca="false">IF(OR($J423="—",$J423=""),0,IF(COUNTIF(Decisions!$A$5:$A$300,$J423)=0,1,0))</f>
        <v>0</v>
      </c>
      <c r="AB423" s="186" t="n">
        <f aca="false">IF(AND($F423="原始數據",$S423&lt;&gt;"Active"),1,0)</f>
        <v>0</v>
      </c>
      <c r="AC423" s="186" t="n">
        <f aca="false">IF(AND(ISNUMBER($K423),ISNUMBER($L423),ISNUMBER($Q423)),IF(OR($Q423&lt;MIN($K423,$L423),$Q423&gt;MAX($K423,$L423)),1,0),0)</f>
        <v>0</v>
      </c>
      <c r="AD423" s="186" t="n">
        <f aca="false">IF(AND(ISNUMBER($T423),$P423="高"),IF($T423=3,1,0),0)</f>
        <v>0</v>
      </c>
      <c r="AE423" s="186" t="n">
        <f aca="false">IF($S423="不存在",1,0)</f>
        <v>0</v>
      </c>
      <c r="AF423" s="35" t="str">
        <f aca="false">IF(OR($H423="—",$H423=""),"—",MATCH($H423,IDX_SrcID,0))</f>
        <v>—</v>
      </c>
      <c r="AG423" s="104" t="n">
        <f aca="false">IF(AND($P423="高",OR($AD423=1,$X423=1)),1,0)</f>
        <v>0</v>
      </c>
      <c r="AH423" s="104" t="n">
        <f aca="false">IF(AND($P423="高",$AG423=0,OR($F423&lt;&gt;"原始數據",$T423&lt;&gt;1)),1,0)</f>
        <v>0</v>
      </c>
      <c r="AI423" s="53" t="str">
        <f aca="false">IF(AND($P423="高",ISNUMBER($AF423)),INDEX(IDX_SrcDate,$AF423),"—")</f>
        <v>—</v>
      </c>
      <c r="AJ423" s="104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6" t="s">
        <v>4179</v>
      </c>
      <c r="B424" s="215" t="s">
        <v>3183</v>
      </c>
      <c r="C424" s="36" t="s">
        <v>2906</v>
      </c>
      <c r="D424" s="36" t="s">
        <v>4180</v>
      </c>
      <c r="E424" s="6" t="s">
        <v>337</v>
      </c>
      <c r="F424" s="215" t="s">
        <v>348</v>
      </c>
      <c r="G424" s="215" t="s">
        <v>3930</v>
      </c>
      <c r="H424" s="36" t="s">
        <v>587</v>
      </c>
      <c r="I424" s="6" t="s">
        <v>587</v>
      </c>
      <c r="J424" s="36" t="s">
        <v>587</v>
      </c>
      <c r="K424" s="215"/>
      <c r="L424" s="215"/>
      <c r="M424" s="36" t="s">
        <v>587</v>
      </c>
      <c r="N424" s="19" t="s">
        <v>4178</v>
      </c>
      <c r="O424" s="6" t="s">
        <v>587</v>
      </c>
      <c r="P424" s="36" t="s">
        <v>587</v>
      </c>
      <c r="Q424" s="185" t="s">
        <v>587</v>
      </c>
      <c r="R424" s="36" t="s">
        <v>587</v>
      </c>
      <c r="S424" s="35" t="str">
        <f aca="false">IF(ISNUMBER($AF424),INDEX(IDX_SrcStat,$AF424),"—")</f>
        <v>—</v>
      </c>
      <c r="T424" s="35" t="str">
        <f aca="false">IF(ISNUMBER($AF424),INDEX(IDX_SrcGrade,$AF424),"—")</f>
        <v>—</v>
      </c>
      <c r="U424" s="36" t="s">
        <v>587</v>
      </c>
      <c r="V424" s="186" t="n">
        <f aca="false">IF(AND($F424="原始數據",$U424&lt;&gt;"連結 SRC"),1,0)</f>
        <v>0</v>
      </c>
      <c r="W424" s="186" t="n">
        <f aca="false">IF(AND($F424="Analogy",OR($H424="—",$H424="")),1,0)</f>
        <v>0</v>
      </c>
      <c r="X424" s="186" t="n">
        <f aca="false">IF(AND(OR($F424="Analogy",$F424="Assumed"),$G424&lt;&gt;"低",$G424&lt;&gt;"高",NOT(ISNUMBER($K424)),NOT(ISNUMBER($L424)),OR($M424="—",$M424="")),1,0)</f>
        <v>0</v>
      </c>
      <c r="Y424" s="186" t="n">
        <f aca="false">IF(AND(OR($F424="Analogy",$F424="Assumed",$F424="Derived（待改公式）",$F424="Derived（公式）"),OR($N424="—",$N424="",$N424=0)),1,0)</f>
        <v>0</v>
      </c>
      <c r="Z424" s="186" t="n">
        <f aca="false">IF(AND($F424="Decision",OR($J424="—",$J424="")),1,0)</f>
        <v>0</v>
      </c>
      <c r="AA424" s="183" t="n">
        <f aca="false">IF(OR($J424="—",$J424=""),0,IF(COUNTIF(Decisions!$A$5:$A$300,$J424)=0,1,0))</f>
        <v>0</v>
      </c>
      <c r="AB424" s="186" t="n">
        <f aca="false">IF(AND($F424="原始數據",$S424&lt;&gt;"Active"),1,0)</f>
        <v>0</v>
      </c>
      <c r="AC424" s="186" t="n">
        <f aca="false">IF(AND(ISNUMBER($K424),ISNUMBER($L424),ISNUMBER($Q424)),IF(OR($Q424&lt;MIN($K424,$L424),$Q424&gt;MAX($K424,$L424)),1,0),0)</f>
        <v>0</v>
      </c>
      <c r="AD424" s="186" t="n">
        <f aca="false">IF(AND(ISNUMBER($T424),$P424="高"),IF($T424=3,1,0),0)</f>
        <v>0</v>
      </c>
      <c r="AE424" s="186" t="n">
        <f aca="false">IF($S424="不存在",1,0)</f>
        <v>0</v>
      </c>
      <c r="AF424" s="35" t="str">
        <f aca="false">IF(OR($H424="—",$H424=""),"—",MATCH($H424,IDX_SrcID,0))</f>
        <v>—</v>
      </c>
      <c r="AG424" s="104" t="n">
        <f aca="false">IF(AND($P424="高",OR($AD424=1,$X424=1)),1,0)</f>
        <v>0</v>
      </c>
      <c r="AH424" s="104" t="n">
        <f aca="false">IF(AND($P424="高",$AG424=0,OR($F424&lt;&gt;"原始數據",$T424&lt;&gt;1)),1,0)</f>
        <v>0</v>
      </c>
      <c r="AI424" s="53" t="str">
        <f aca="false">IF(AND($P424="高",ISNUMBER($AF424)),INDEX(IDX_SrcDate,$AF424),"—")</f>
        <v>—</v>
      </c>
      <c r="AJ424" s="104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6" t="s">
        <v>4181</v>
      </c>
      <c r="B425" s="215" t="s">
        <v>3183</v>
      </c>
      <c r="C425" s="36" t="s">
        <v>2906</v>
      </c>
      <c r="D425" s="36" t="s">
        <v>4182</v>
      </c>
      <c r="E425" s="19" t="s">
        <v>4183</v>
      </c>
      <c r="F425" s="215" t="s">
        <v>348</v>
      </c>
      <c r="G425" s="215" t="s">
        <v>3930</v>
      </c>
      <c r="H425" s="36" t="s">
        <v>587</v>
      </c>
      <c r="I425" s="6" t="s">
        <v>587</v>
      </c>
      <c r="J425" s="36" t="s">
        <v>587</v>
      </c>
      <c r="K425" s="215"/>
      <c r="L425" s="215"/>
      <c r="M425" s="36" t="s">
        <v>587</v>
      </c>
      <c r="N425" s="19" t="s">
        <v>4178</v>
      </c>
      <c r="O425" s="6" t="s">
        <v>587</v>
      </c>
      <c r="P425" s="36" t="s">
        <v>587</v>
      </c>
      <c r="Q425" s="185" t="s">
        <v>587</v>
      </c>
      <c r="R425" s="36" t="s">
        <v>587</v>
      </c>
      <c r="S425" s="35" t="str">
        <f aca="false">IF(ISNUMBER($AF425),INDEX(IDX_SrcStat,$AF425),"—")</f>
        <v>—</v>
      </c>
      <c r="T425" s="35" t="str">
        <f aca="false">IF(ISNUMBER($AF425),INDEX(IDX_SrcGrade,$AF425),"—")</f>
        <v>—</v>
      </c>
      <c r="U425" s="36" t="s">
        <v>587</v>
      </c>
      <c r="V425" s="186" t="n">
        <f aca="false">IF(AND($F425="原始數據",$U425&lt;&gt;"連結 SRC"),1,0)</f>
        <v>0</v>
      </c>
      <c r="W425" s="186" t="n">
        <f aca="false">IF(AND($F425="Analogy",OR($H425="—",$H425="")),1,0)</f>
        <v>0</v>
      </c>
      <c r="X425" s="186" t="n">
        <f aca="false">IF(AND(OR($F425="Analogy",$F425="Assumed"),$G425&lt;&gt;"低",$G425&lt;&gt;"高",NOT(ISNUMBER($K425)),NOT(ISNUMBER($L425)),OR($M425="—",$M425="")),1,0)</f>
        <v>0</v>
      </c>
      <c r="Y425" s="186" t="n">
        <f aca="false">IF(AND(OR($F425="Analogy",$F425="Assumed",$F425="Derived（待改公式）",$F425="Derived（公式）"),OR($N425="—",$N425="",$N425=0)),1,0)</f>
        <v>0</v>
      </c>
      <c r="Z425" s="186" t="n">
        <f aca="false">IF(AND($F425="Decision",OR($J425="—",$J425="")),1,0)</f>
        <v>0</v>
      </c>
      <c r="AA425" s="183" t="n">
        <f aca="false">IF(OR($J425="—",$J425=""),0,IF(COUNTIF(Decisions!$A$5:$A$300,$J425)=0,1,0))</f>
        <v>0</v>
      </c>
      <c r="AB425" s="186" t="n">
        <f aca="false">IF(AND($F425="原始數據",$S425&lt;&gt;"Active"),1,0)</f>
        <v>0</v>
      </c>
      <c r="AC425" s="186" t="n">
        <f aca="false">IF(AND(ISNUMBER($K425),ISNUMBER($L425),ISNUMBER($Q425)),IF(OR($Q425&lt;MIN($K425,$L425),$Q425&gt;MAX($K425,$L425)),1,0),0)</f>
        <v>0</v>
      </c>
      <c r="AD425" s="186" t="n">
        <f aca="false">IF(AND(ISNUMBER($T425),$P425="高"),IF($T425=3,1,0),0)</f>
        <v>0</v>
      </c>
      <c r="AE425" s="186" t="n">
        <f aca="false">IF($S425="不存在",1,0)</f>
        <v>0</v>
      </c>
      <c r="AF425" s="35" t="str">
        <f aca="false">IF(OR($H425="—",$H425=""),"—",MATCH($H425,IDX_SrcID,0))</f>
        <v>—</v>
      </c>
      <c r="AG425" s="104" t="n">
        <f aca="false">IF(AND($P425="高",OR($AD425=1,$X425=1)),1,0)</f>
        <v>0</v>
      </c>
      <c r="AH425" s="104" t="n">
        <f aca="false">IF(AND($P425="高",$AG425=0,OR($F425&lt;&gt;"原始數據",$T425&lt;&gt;1)),1,0)</f>
        <v>0</v>
      </c>
      <c r="AI425" s="53" t="str">
        <f aca="false">IF(AND($P425="高",ISNUMBER($AF425)),INDEX(IDX_SrcDate,$AF425),"—")</f>
        <v>—</v>
      </c>
      <c r="AJ425" s="104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6" t="s">
        <v>4184</v>
      </c>
      <c r="B426" s="215" t="s">
        <v>3183</v>
      </c>
      <c r="C426" s="36" t="s">
        <v>2906</v>
      </c>
      <c r="D426" s="36" t="s">
        <v>4185</v>
      </c>
      <c r="E426" s="19" t="s">
        <v>719</v>
      </c>
      <c r="F426" s="215" t="s">
        <v>348</v>
      </c>
      <c r="G426" s="215" t="s">
        <v>3930</v>
      </c>
      <c r="H426" s="36" t="s">
        <v>587</v>
      </c>
      <c r="I426" s="6" t="s">
        <v>587</v>
      </c>
      <c r="J426" s="36" t="s">
        <v>587</v>
      </c>
      <c r="K426" s="215"/>
      <c r="L426" s="215"/>
      <c r="M426" s="36" t="s">
        <v>587</v>
      </c>
      <c r="N426" s="19" t="s">
        <v>4178</v>
      </c>
      <c r="O426" s="6" t="s">
        <v>587</v>
      </c>
      <c r="P426" s="36" t="s">
        <v>587</v>
      </c>
      <c r="Q426" s="185" t="s">
        <v>587</v>
      </c>
      <c r="R426" s="36" t="s">
        <v>587</v>
      </c>
      <c r="S426" s="35" t="str">
        <f aca="false">IF(ISNUMBER($AF426),INDEX(IDX_SrcStat,$AF426),"—")</f>
        <v>—</v>
      </c>
      <c r="T426" s="35" t="str">
        <f aca="false">IF(ISNUMBER($AF426),INDEX(IDX_SrcGrade,$AF426),"—")</f>
        <v>—</v>
      </c>
      <c r="U426" s="36" t="s">
        <v>587</v>
      </c>
      <c r="V426" s="186" t="n">
        <f aca="false">IF(AND($F426="原始數據",$U426&lt;&gt;"連結 SRC"),1,0)</f>
        <v>0</v>
      </c>
      <c r="W426" s="186" t="n">
        <f aca="false">IF(AND($F426="Analogy",OR($H426="—",$H426="")),1,0)</f>
        <v>0</v>
      </c>
      <c r="X426" s="186" t="n">
        <f aca="false">IF(AND(OR($F426="Analogy",$F426="Assumed"),$G426&lt;&gt;"低",$G426&lt;&gt;"高",NOT(ISNUMBER($K426)),NOT(ISNUMBER($L426)),OR($M426="—",$M426="")),1,0)</f>
        <v>0</v>
      </c>
      <c r="Y426" s="186" t="n">
        <f aca="false">IF(AND(OR($F426="Analogy",$F426="Assumed",$F426="Derived（待改公式）",$F426="Derived（公式）"),OR($N426="—",$N426="",$N426=0)),1,0)</f>
        <v>0</v>
      </c>
      <c r="Z426" s="186" t="n">
        <f aca="false">IF(AND($F426="Decision",OR($J426="—",$J426="")),1,0)</f>
        <v>0</v>
      </c>
      <c r="AA426" s="183" t="n">
        <f aca="false">IF(OR($J426="—",$J426=""),0,IF(COUNTIF(Decisions!$A$5:$A$300,$J426)=0,1,0))</f>
        <v>0</v>
      </c>
      <c r="AB426" s="186" t="n">
        <f aca="false">IF(AND($F426="原始數據",$S426&lt;&gt;"Active"),1,0)</f>
        <v>0</v>
      </c>
      <c r="AC426" s="186" t="n">
        <f aca="false">IF(AND(ISNUMBER($K426),ISNUMBER($L426),ISNUMBER($Q426)),IF(OR($Q426&lt;MIN($K426,$L426),$Q426&gt;MAX($K426,$L426)),1,0),0)</f>
        <v>0</v>
      </c>
      <c r="AD426" s="186" t="n">
        <f aca="false">IF(AND(ISNUMBER($T426),$P426="高"),IF($T426=3,1,0),0)</f>
        <v>0</v>
      </c>
      <c r="AE426" s="186" t="n">
        <f aca="false">IF($S426="不存在",1,0)</f>
        <v>0</v>
      </c>
      <c r="AF426" s="35" t="str">
        <f aca="false">IF(OR($H426="—",$H426=""),"—",MATCH($H426,IDX_SrcID,0))</f>
        <v>—</v>
      </c>
      <c r="AG426" s="104" t="n">
        <f aca="false">IF(AND($P426="高",OR($AD426=1,$X426=1)),1,0)</f>
        <v>0</v>
      </c>
      <c r="AH426" s="104" t="n">
        <f aca="false">IF(AND($P426="高",$AG426=0,OR($F426&lt;&gt;"原始數據",$T426&lt;&gt;1)),1,0)</f>
        <v>0</v>
      </c>
      <c r="AI426" s="53" t="str">
        <f aca="false">IF(AND($P426="高",ISNUMBER($AF426)),INDEX(IDX_SrcDate,$AF426),"—")</f>
        <v>—</v>
      </c>
      <c r="AJ426" s="104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6" t="s">
        <v>4186</v>
      </c>
      <c r="B427" s="215" t="s">
        <v>3183</v>
      </c>
      <c r="C427" s="36" t="s">
        <v>2906</v>
      </c>
      <c r="D427" s="36" t="s">
        <v>4187</v>
      </c>
      <c r="E427" s="19" t="s">
        <v>333</v>
      </c>
      <c r="F427" s="215" t="s">
        <v>348</v>
      </c>
      <c r="G427" s="215" t="s">
        <v>3930</v>
      </c>
      <c r="H427" s="36" t="s">
        <v>587</v>
      </c>
      <c r="I427" s="6" t="s">
        <v>587</v>
      </c>
      <c r="J427" s="36" t="s">
        <v>587</v>
      </c>
      <c r="K427" s="215"/>
      <c r="L427" s="215"/>
      <c r="M427" s="36" t="s">
        <v>587</v>
      </c>
      <c r="N427" s="19" t="s">
        <v>4178</v>
      </c>
      <c r="O427" s="6" t="s">
        <v>587</v>
      </c>
      <c r="P427" s="36" t="s">
        <v>587</v>
      </c>
      <c r="Q427" s="185" t="s">
        <v>587</v>
      </c>
      <c r="R427" s="36" t="s">
        <v>587</v>
      </c>
      <c r="S427" s="35" t="str">
        <f aca="false">IF(ISNUMBER($AF427),INDEX(IDX_SrcStat,$AF427),"—")</f>
        <v>—</v>
      </c>
      <c r="T427" s="35" t="str">
        <f aca="false">IF(ISNUMBER($AF427),INDEX(IDX_SrcGrade,$AF427),"—")</f>
        <v>—</v>
      </c>
      <c r="U427" s="36" t="s">
        <v>587</v>
      </c>
      <c r="V427" s="186" t="n">
        <f aca="false">IF(AND($F427="原始數據",$U427&lt;&gt;"連結 SRC"),1,0)</f>
        <v>0</v>
      </c>
      <c r="W427" s="186" t="n">
        <f aca="false">IF(AND($F427="Analogy",OR($H427="—",$H427="")),1,0)</f>
        <v>0</v>
      </c>
      <c r="X427" s="186" t="n">
        <f aca="false">IF(AND(OR($F427="Analogy",$F427="Assumed"),$G427&lt;&gt;"低",$G427&lt;&gt;"高",NOT(ISNUMBER($K427)),NOT(ISNUMBER($L427)),OR($M427="—",$M427="")),1,0)</f>
        <v>0</v>
      </c>
      <c r="Y427" s="186" t="n">
        <f aca="false">IF(AND(OR($F427="Analogy",$F427="Assumed",$F427="Derived（待改公式）",$F427="Derived（公式）"),OR($N427="—",$N427="",$N427=0)),1,0)</f>
        <v>0</v>
      </c>
      <c r="Z427" s="186" t="n">
        <f aca="false">IF(AND($F427="Decision",OR($J427="—",$J427="")),1,0)</f>
        <v>0</v>
      </c>
      <c r="AA427" s="183" t="n">
        <f aca="false">IF(OR($J427="—",$J427=""),0,IF(COUNTIF(Decisions!$A$5:$A$300,$J427)=0,1,0))</f>
        <v>0</v>
      </c>
      <c r="AB427" s="186" t="n">
        <f aca="false">IF(AND($F427="原始數據",$S427&lt;&gt;"Active"),1,0)</f>
        <v>0</v>
      </c>
      <c r="AC427" s="186" t="n">
        <f aca="false">IF(AND(ISNUMBER($K427),ISNUMBER($L427),ISNUMBER($Q427)),IF(OR($Q427&lt;MIN($K427,$L427),$Q427&gt;MAX($K427,$L427)),1,0),0)</f>
        <v>0</v>
      </c>
      <c r="AD427" s="186" t="n">
        <f aca="false">IF(AND(ISNUMBER($T427),$P427="高"),IF($T427=3,1,0),0)</f>
        <v>0</v>
      </c>
      <c r="AE427" s="186" t="n">
        <f aca="false">IF($S427="不存在",1,0)</f>
        <v>0</v>
      </c>
      <c r="AF427" s="35" t="str">
        <f aca="false">IF(OR($H427="—",$H427=""),"—",MATCH($H427,IDX_SrcID,0))</f>
        <v>—</v>
      </c>
      <c r="AG427" s="104" t="n">
        <f aca="false">IF(AND($P427="高",OR($AD427=1,$X427=1)),1,0)</f>
        <v>0</v>
      </c>
      <c r="AH427" s="104" t="n">
        <f aca="false">IF(AND($P427="高",$AG427=0,OR($F427&lt;&gt;"原始數據",$T427&lt;&gt;1)),1,0)</f>
        <v>0</v>
      </c>
      <c r="AI427" s="53" t="str">
        <f aca="false">IF(AND($P427="高",ISNUMBER($AF427)),INDEX(IDX_SrcDate,$AF427),"—")</f>
        <v>—</v>
      </c>
      <c r="AJ427" s="104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6" t="s">
        <v>4188</v>
      </c>
      <c r="B428" s="215" t="s">
        <v>3183</v>
      </c>
      <c r="C428" s="36" t="s">
        <v>2906</v>
      </c>
      <c r="D428" s="36" t="s">
        <v>4189</v>
      </c>
      <c r="E428" s="6" t="s">
        <v>722</v>
      </c>
      <c r="F428" s="215" t="s">
        <v>348</v>
      </c>
      <c r="G428" s="215" t="s">
        <v>3930</v>
      </c>
      <c r="H428" s="36" t="s">
        <v>587</v>
      </c>
      <c r="I428" s="6" t="s">
        <v>587</v>
      </c>
      <c r="J428" s="36" t="s">
        <v>587</v>
      </c>
      <c r="K428" s="215"/>
      <c r="L428" s="215"/>
      <c r="M428" s="36" t="s">
        <v>587</v>
      </c>
      <c r="N428" s="19" t="s">
        <v>4178</v>
      </c>
      <c r="O428" s="6" t="s">
        <v>587</v>
      </c>
      <c r="P428" s="36" t="s">
        <v>587</v>
      </c>
      <c r="Q428" s="185" t="s">
        <v>587</v>
      </c>
      <c r="R428" s="36" t="s">
        <v>587</v>
      </c>
      <c r="S428" s="35" t="str">
        <f aca="false">IF(ISNUMBER($AF428),INDEX(IDX_SrcStat,$AF428),"—")</f>
        <v>—</v>
      </c>
      <c r="T428" s="35" t="str">
        <f aca="false">IF(ISNUMBER($AF428),INDEX(IDX_SrcGrade,$AF428),"—")</f>
        <v>—</v>
      </c>
      <c r="U428" s="36" t="s">
        <v>587</v>
      </c>
      <c r="V428" s="186" t="n">
        <f aca="false">IF(AND($F428="原始數據",$U428&lt;&gt;"連結 SRC"),1,0)</f>
        <v>0</v>
      </c>
      <c r="W428" s="186" t="n">
        <f aca="false">IF(AND($F428="Analogy",OR($H428="—",$H428="")),1,0)</f>
        <v>0</v>
      </c>
      <c r="X428" s="186" t="n">
        <f aca="false">IF(AND(OR($F428="Analogy",$F428="Assumed"),$G428&lt;&gt;"低",$G428&lt;&gt;"高",NOT(ISNUMBER($K428)),NOT(ISNUMBER($L428)),OR($M428="—",$M428="")),1,0)</f>
        <v>0</v>
      </c>
      <c r="Y428" s="186" t="n">
        <f aca="false">IF(AND(OR($F428="Analogy",$F428="Assumed",$F428="Derived（待改公式）",$F428="Derived（公式）"),OR($N428="—",$N428="",$N428=0)),1,0)</f>
        <v>0</v>
      </c>
      <c r="Z428" s="186" t="n">
        <f aca="false">IF(AND($F428="Decision",OR($J428="—",$J428="")),1,0)</f>
        <v>0</v>
      </c>
      <c r="AA428" s="183" t="n">
        <f aca="false">IF(OR($J428="—",$J428=""),0,IF(COUNTIF(Decisions!$A$5:$A$300,$J428)=0,1,0))</f>
        <v>0</v>
      </c>
      <c r="AB428" s="186" t="n">
        <f aca="false">IF(AND($F428="原始數據",$S428&lt;&gt;"Active"),1,0)</f>
        <v>0</v>
      </c>
      <c r="AC428" s="186" t="n">
        <f aca="false">IF(AND(ISNUMBER($K428),ISNUMBER($L428),ISNUMBER($Q428)),IF(OR($Q428&lt;MIN($K428,$L428),$Q428&gt;MAX($K428,$L428)),1,0),0)</f>
        <v>0</v>
      </c>
      <c r="AD428" s="186" t="n">
        <f aca="false">IF(AND(ISNUMBER($T428),$P428="高"),IF($T428=3,1,0),0)</f>
        <v>0</v>
      </c>
      <c r="AE428" s="186" t="n">
        <f aca="false">IF($S428="不存在",1,0)</f>
        <v>0</v>
      </c>
      <c r="AF428" s="35" t="str">
        <f aca="false">IF(OR($H428="—",$H428=""),"—",MATCH($H428,IDX_SrcID,0))</f>
        <v>—</v>
      </c>
      <c r="AG428" s="104" t="n">
        <f aca="false">IF(AND($P428="高",OR($AD428=1,$X428=1)),1,0)</f>
        <v>0</v>
      </c>
      <c r="AH428" s="104" t="n">
        <f aca="false">IF(AND($P428="高",$AG428=0,OR($F428&lt;&gt;"原始數據",$T428&lt;&gt;1)),1,0)</f>
        <v>0</v>
      </c>
      <c r="AI428" s="53" t="str">
        <f aca="false">IF(AND($P428="高",ISNUMBER($AF428)),INDEX(IDX_SrcDate,$AF428),"—")</f>
        <v>—</v>
      </c>
      <c r="AJ428" s="104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6" t="s">
        <v>4190</v>
      </c>
      <c r="B429" s="215" t="s">
        <v>3183</v>
      </c>
      <c r="C429" s="36" t="s">
        <v>2906</v>
      </c>
      <c r="D429" s="36" t="s">
        <v>4191</v>
      </c>
      <c r="E429" s="19" t="s">
        <v>4192</v>
      </c>
      <c r="F429" s="215" t="s">
        <v>348</v>
      </c>
      <c r="G429" s="215" t="s">
        <v>3930</v>
      </c>
      <c r="H429" s="36" t="s">
        <v>587</v>
      </c>
      <c r="I429" s="6" t="s">
        <v>587</v>
      </c>
      <c r="J429" s="36" t="s">
        <v>587</v>
      </c>
      <c r="K429" s="215"/>
      <c r="L429" s="215"/>
      <c r="M429" s="36" t="s">
        <v>587</v>
      </c>
      <c r="N429" s="19" t="s">
        <v>4178</v>
      </c>
      <c r="O429" s="6" t="s">
        <v>587</v>
      </c>
      <c r="P429" s="36" t="s">
        <v>587</v>
      </c>
      <c r="Q429" s="185" t="s">
        <v>587</v>
      </c>
      <c r="R429" s="36" t="s">
        <v>587</v>
      </c>
      <c r="S429" s="35" t="str">
        <f aca="false">IF(ISNUMBER($AF429),INDEX(IDX_SrcStat,$AF429),"—")</f>
        <v>—</v>
      </c>
      <c r="T429" s="35" t="str">
        <f aca="false">IF(ISNUMBER($AF429),INDEX(IDX_SrcGrade,$AF429),"—")</f>
        <v>—</v>
      </c>
      <c r="U429" s="36" t="s">
        <v>587</v>
      </c>
      <c r="V429" s="186" t="n">
        <f aca="false">IF(AND($F429="原始數據",$U429&lt;&gt;"連結 SRC"),1,0)</f>
        <v>0</v>
      </c>
      <c r="W429" s="186" t="n">
        <f aca="false">IF(AND($F429="Analogy",OR($H429="—",$H429="")),1,0)</f>
        <v>0</v>
      </c>
      <c r="X429" s="186" t="n">
        <f aca="false">IF(AND(OR($F429="Analogy",$F429="Assumed"),$G429&lt;&gt;"低",$G429&lt;&gt;"高",NOT(ISNUMBER($K429)),NOT(ISNUMBER($L429)),OR($M429="—",$M429="")),1,0)</f>
        <v>0</v>
      </c>
      <c r="Y429" s="186" t="n">
        <f aca="false">IF(AND(OR($F429="Analogy",$F429="Assumed",$F429="Derived（待改公式）",$F429="Derived（公式）"),OR($N429="—",$N429="",$N429=0)),1,0)</f>
        <v>0</v>
      </c>
      <c r="Z429" s="186" t="n">
        <f aca="false">IF(AND($F429="Decision",OR($J429="—",$J429="")),1,0)</f>
        <v>0</v>
      </c>
      <c r="AA429" s="183" t="n">
        <f aca="false">IF(OR($J429="—",$J429=""),0,IF(COUNTIF(Decisions!$A$5:$A$300,$J429)=0,1,0))</f>
        <v>0</v>
      </c>
      <c r="AB429" s="186" t="n">
        <f aca="false">IF(AND($F429="原始數據",$S429&lt;&gt;"Active"),1,0)</f>
        <v>0</v>
      </c>
      <c r="AC429" s="186" t="n">
        <f aca="false">IF(AND(ISNUMBER($K429),ISNUMBER($L429),ISNUMBER($Q429)),IF(OR($Q429&lt;MIN($K429,$L429),$Q429&gt;MAX($K429,$L429)),1,0),0)</f>
        <v>0</v>
      </c>
      <c r="AD429" s="186" t="n">
        <f aca="false">IF(AND(ISNUMBER($T429),$P429="高"),IF($T429=3,1,0),0)</f>
        <v>0</v>
      </c>
      <c r="AE429" s="186" t="n">
        <f aca="false">IF($S429="不存在",1,0)</f>
        <v>0</v>
      </c>
      <c r="AF429" s="35" t="str">
        <f aca="false">IF(OR($H429="—",$H429=""),"—",MATCH($H429,IDX_SrcID,0))</f>
        <v>—</v>
      </c>
      <c r="AG429" s="104" t="n">
        <f aca="false">IF(AND($P429="高",OR($AD429=1,$X429=1)),1,0)</f>
        <v>0</v>
      </c>
      <c r="AH429" s="104" t="n">
        <f aca="false">IF(AND($P429="高",$AG429=0,OR($F429&lt;&gt;"原始數據",$T429&lt;&gt;1)),1,0)</f>
        <v>0</v>
      </c>
      <c r="AI429" s="53" t="str">
        <f aca="false">IF(AND($P429="高",ISNUMBER($AF429)),INDEX(IDX_SrcDate,$AF429),"—")</f>
        <v>—</v>
      </c>
      <c r="AJ429" s="104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6" t="s">
        <v>4193</v>
      </c>
      <c r="B430" s="215" t="s">
        <v>3183</v>
      </c>
      <c r="C430" s="36" t="s">
        <v>4194</v>
      </c>
      <c r="D430" s="36" t="s">
        <v>4168</v>
      </c>
      <c r="E430" s="19" t="s">
        <v>419</v>
      </c>
      <c r="F430" s="215" t="s">
        <v>3929</v>
      </c>
      <c r="G430" s="215" t="s">
        <v>3930</v>
      </c>
      <c r="H430" s="36" t="s">
        <v>587</v>
      </c>
      <c r="I430" s="6" t="s">
        <v>587</v>
      </c>
      <c r="J430" s="36" t="s">
        <v>587</v>
      </c>
      <c r="K430" s="215"/>
      <c r="L430" s="215"/>
      <c r="M430" s="36" t="s">
        <v>587</v>
      </c>
      <c r="N430" s="19" t="s">
        <v>4169</v>
      </c>
      <c r="O430" s="6" t="s">
        <v>587</v>
      </c>
      <c r="P430" s="36" t="s">
        <v>587</v>
      </c>
      <c r="Q430" s="185" t="s">
        <v>587</v>
      </c>
      <c r="R430" s="36" t="s">
        <v>587</v>
      </c>
      <c r="S430" s="35" t="str">
        <f aca="false">IF(ISNUMBER($AF430),INDEX(IDX_SrcStat,$AF430),"—")</f>
        <v>—</v>
      </c>
      <c r="T430" s="35" t="str">
        <f aca="false">IF(ISNUMBER($AF430),INDEX(IDX_SrcGrade,$AF430),"—")</f>
        <v>—</v>
      </c>
      <c r="U430" s="36" t="s">
        <v>587</v>
      </c>
      <c r="V430" s="186" t="n">
        <f aca="false">IF(AND($F430="原始數據",$U430&lt;&gt;"連結 SRC"),1,0)</f>
        <v>0</v>
      </c>
      <c r="W430" s="186" t="n">
        <f aca="false">IF(AND($F430="Analogy",OR($H430="—",$H430="")),1,0)</f>
        <v>0</v>
      </c>
      <c r="X430" s="186" t="n">
        <f aca="false">IF(AND(OR($F430="Analogy",$F430="Assumed"),$G430&lt;&gt;"低",$G430&lt;&gt;"高",NOT(ISNUMBER($K430)),NOT(ISNUMBER($L430)),OR($M430="—",$M430="")),1,0)</f>
        <v>0</v>
      </c>
      <c r="Y430" s="186" t="n">
        <f aca="false">IF(AND(OR($F430="Analogy",$F430="Assumed",$F430="Derived（待改公式）",$F430="Derived（公式）"),OR($N430="—",$N430="",$N430=0)),1,0)</f>
        <v>0</v>
      </c>
      <c r="Z430" s="186" t="n">
        <f aca="false">IF(AND($F430="Decision",OR($J430="—",$J430="")),1,0)</f>
        <v>0</v>
      </c>
      <c r="AA430" s="183" t="n">
        <f aca="false">IF(OR($J430="—",$J430=""),0,IF(COUNTIF(Decisions!$A$5:$A$300,$J430)=0,1,0))</f>
        <v>0</v>
      </c>
      <c r="AB430" s="186" t="n">
        <f aca="false">IF(AND($F430="原始數據",$S430&lt;&gt;"Active"),1,0)</f>
        <v>0</v>
      </c>
      <c r="AC430" s="186" t="n">
        <f aca="false">IF(AND(ISNUMBER($K430),ISNUMBER($L430),ISNUMBER($Q430)),IF(OR($Q430&lt;MIN($K430,$L430),$Q430&gt;MAX($K430,$L430)),1,0),0)</f>
        <v>0</v>
      </c>
      <c r="AD430" s="186" t="n">
        <f aca="false">IF(AND(ISNUMBER($T430),$P430="高"),IF($T430=3,1,0),0)</f>
        <v>0</v>
      </c>
      <c r="AE430" s="186" t="n">
        <f aca="false">IF($S430="不存在",1,0)</f>
        <v>0</v>
      </c>
      <c r="AF430" s="35" t="str">
        <f aca="false">IF(OR($H430="—",$H430=""),"—",MATCH($H430,IDX_SrcID,0))</f>
        <v>—</v>
      </c>
      <c r="AG430" s="104" t="n">
        <f aca="false">IF(AND($P430="高",OR($AD430=1,$X430=1)),1,0)</f>
        <v>0</v>
      </c>
      <c r="AH430" s="104" t="n">
        <f aca="false">IF(AND($P430="高",$AG430=0,OR($F430&lt;&gt;"原始數據",$T430&lt;&gt;1)),1,0)</f>
        <v>0</v>
      </c>
      <c r="AI430" s="53" t="str">
        <f aca="false">IF(AND($P430="高",ISNUMBER($AF430)),INDEX(IDX_SrcDate,$AF430),"—")</f>
        <v>—</v>
      </c>
      <c r="AJ430" s="104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6" t="s">
        <v>4195</v>
      </c>
      <c r="B431" s="215" t="s">
        <v>4196</v>
      </c>
      <c r="C431" s="36" t="s">
        <v>4197</v>
      </c>
      <c r="D431" s="36" t="s">
        <v>3485</v>
      </c>
      <c r="E431" s="19" t="s">
        <v>4198</v>
      </c>
      <c r="F431" s="215" t="s">
        <v>298</v>
      </c>
      <c r="G431" s="215" t="s">
        <v>3185</v>
      </c>
      <c r="H431" s="36" t="s">
        <v>4199</v>
      </c>
      <c r="I431" s="19" t="s">
        <v>3220</v>
      </c>
      <c r="J431" s="36" t="s">
        <v>587</v>
      </c>
      <c r="K431" s="215"/>
      <c r="L431" s="215"/>
      <c r="M431" s="36" t="s">
        <v>587</v>
      </c>
      <c r="N431" s="19" t="s">
        <v>3318</v>
      </c>
      <c r="O431" s="6" t="s">
        <v>587</v>
      </c>
      <c r="P431" s="215" t="s">
        <v>1116</v>
      </c>
      <c r="Q431" s="178" t="n">
        <f aca="false">Train_In!C25</f>
        <v>32</v>
      </c>
      <c r="R431" s="185" t="n">
        <f aca="false">SRC_MOD_029</f>
        <v>32</v>
      </c>
      <c r="S431" s="35" t="str">
        <f aca="false">IF(ISNUMBER($AF431),INDEX(IDX_SrcStat,$AF431),"—")</f>
        <v>Active</v>
      </c>
      <c r="T431" s="35" t="n">
        <f aca="false">IF(ISNUMBER($AF431),INDEX(IDX_SrcGrade,$AF431),"—")</f>
        <v>1</v>
      </c>
      <c r="U431" s="35" t="s">
        <v>3222</v>
      </c>
      <c r="V431" s="186" t="n">
        <f aca="false">IF(AND($F431="原始數據",$U431&lt;&gt;"連結 SRC"),1,0)</f>
        <v>0</v>
      </c>
      <c r="W431" s="186" t="n">
        <f aca="false">IF(AND($F431="Analogy",OR($H431="—",$H431="")),1,0)</f>
        <v>0</v>
      </c>
      <c r="X431" s="186" t="n">
        <f aca="false">IF(AND(OR($F431="Analogy",$F431="Assumed"),$G431&lt;&gt;"低",$G431&lt;&gt;"高",NOT(ISNUMBER($K431)),NOT(ISNUMBER($L431)),OR($M431="—",$M431="")),1,0)</f>
        <v>0</v>
      </c>
      <c r="Y431" s="186" t="n">
        <f aca="false">IF(AND(OR($F431="Analogy",$F431="Assumed",$F431="Derived（待改公式）",$F431="Derived（公式）"),OR($N431="—",$N431="",$N431=0)),1,0)</f>
        <v>0</v>
      </c>
      <c r="Z431" s="186" t="n">
        <f aca="false">IF(AND($F431="Decision",OR($J431="—",$J431="")),1,0)</f>
        <v>0</v>
      </c>
      <c r="AA431" s="183" t="n">
        <f aca="false">IF(OR($J431="—",$J431=""),0,IF(COUNTIF(Decisions!$A$5:$A$300,$J431)=0,1,0))</f>
        <v>0</v>
      </c>
      <c r="AB431" s="186" t="n">
        <f aca="false">IF(AND($F431="原始數據",$S431&lt;&gt;"Active"),1,0)</f>
        <v>0</v>
      </c>
      <c r="AC431" s="186" t="n">
        <f aca="false">IF(AND(ISNUMBER($K431),ISNUMBER($L431),ISNUMBER($Q431)),IF(OR($Q431&lt;MIN($K431,$L431),$Q431&gt;MAX($K431,$L431)),1,0),0)</f>
        <v>0</v>
      </c>
      <c r="AD431" s="186" t="n">
        <f aca="false">IF(AND(ISNUMBER($T431),$P431="高"),IF($T431=3,1,0),0)</f>
        <v>0</v>
      </c>
      <c r="AE431" s="186" t="n">
        <f aca="false">IF($S431="不存在",1,0)</f>
        <v>0</v>
      </c>
      <c r="AF431" s="35" t="n">
        <f aca="false">IF(OR($H431="—",$H431=""),"—",MATCH($H431,IDX_SrcID,0))</f>
        <v>206</v>
      </c>
      <c r="AG431" s="104" t="n">
        <f aca="false">IF(AND($P431="高",OR($AD431=1,$X431=1)),1,0)</f>
        <v>0</v>
      </c>
      <c r="AH431" s="104" t="n">
        <f aca="false">IF(AND($P431="高",$AG431=0,OR($F431&lt;&gt;"原始數據",$T431&lt;&gt;1)),1,0)</f>
        <v>0</v>
      </c>
      <c r="AI431" s="53" t="str">
        <f aca="false">IF(AND($P431="高",ISNUMBER($AF431)),INDEX(IDX_SrcDate,$AF431),"—")</f>
        <v>—</v>
      </c>
      <c r="AJ431" s="104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6" t="s">
        <v>4200</v>
      </c>
      <c r="B432" s="215" t="s">
        <v>4196</v>
      </c>
      <c r="C432" s="36" t="s">
        <v>4197</v>
      </c>
      <c r="D432" s="36" t="s">
        <v>3488</v>
      </c>
      <c r="E432" s="19" t="s">
        <v>4198</v>
      </c>
      <c r="F432" s="215" t="s">
        <v>298</v>
      </c>
      <c r="G432" s="215" t="s">
        <v>3185</v>
      </c>
      <c r="H432" s="36" t="s">
        <v>4201</v>
      </c>
      <c r="I432" s="19" t="s">
        <v>3220</v>
      </c>
      <c r="J432" s="36" t="s">
        <v>587</v>
      </c>
      <c r="K432" s="215"/>
      <c r="L432" s="215"/>
      <c r="M432" s="36" t="s">
        <v>587</v>
      </c>
      <c r="N432" s="19" t="s">
        <v>3318</v>
      </c>
      <c r="O432" s="6" t="s">
        <v>587</v>
      </c>
      <c r="P432" s="215" t="s">
        <v>1116</v>
      </c>
      <c r="Q432" s="178" t="n">
        <f aca="false">Train_In!D25</f>
        <v>33</v>
      </c>
      <c r="R432" s="185" t="n">
        <f aca="false">SRC_MOD_030</f>
        <v>33</v>
      </c>
      <c r="S432" s="35" t="str">
        <f aca="false">IF(ISNUMBER($AF432),INDEX(IDX_SrcStat,$AF432),"—")</f>
        <v>Active</v>
      </c>
      <c r="T432" s="35" t="n">
        <f aca="false">IF(ISNUMBER($AF432),INDEX(IDX_SrcGrade,$AF432),"—")</f>
        <v>1</v>
      </c>
      <c r="U432" s="35" t="s">
        <v>3222</v>
      </c>
      <c r="V432" s="186" t="n">
        <f aca="false">IF(AND($F432="原始數據",$U432&lt;&gt;"連結 SRC"),1,0)</f>
        <v>0</v>
      </c>
      <c r="W432" s="186" t="n">
        <f aca="false">IF(AND($F432="Analogy",OR($H432="—",$H432="")),1,0)</f>
        <v>0</v>
      </c>
      <c r="X432" s="186" t="n">
        <f aca="false">IF(AND(OR($F432="Analogy",$F432="Assumed"),$G432&lt;&gt;"低",$G432&lt;&gt;"高",NOT(ISNUMBER($K432)),NOT(ISNUMBER($L432)),OR($M432="—",$M432="")),1,0)</f>
        <v>0</v>
      </c>
      <c r="Y432" s="186" t="n">
        <f aca="false">IF(AND(OR($F432="Analogy",$F432="Assumed",$F432="Derived（待改公式）",$F432="Derived（公式）"),OR($N432="—",$N432="",$N432=0)),1,0)</f>
        <v>0</v>
      </c>
      <c r="Z432" s="186" t="n">
        <f aca="false">IF(AND($F432="Decision",OR($J432="—",$J432="")),1,0)</f>
        <v>0</v>
      </c>
      <c r="AA432" s="183" t="n">
        <f aca="false">IF(OR($J432="—",$J432=""),0,IF(COUNTIF(Decisions!$A$5:$A$300,$J432)=0,1,0))</f>
        <v>0</v>
      </c>
      <c r="AB432" s="186" t="n">
        <f aca="false">IF(AND($F432="原始數據",$S432&lt;&gt;"Active"),1,0)</f>
        <v>0</v>
      </c>
      <c r="AC432" s="186" t="n">
        <f aca="false">IF(AND(ISNUMBER($K432),ISNUMBER($L432),ISNUMBER($Q432)),IF(OR($Q432&lt;MIN($K432,$L432),$Q432&gt;MAX($K432,$L432)),1,0),0)</f>
        <v>0</v>
      </c>
      <c r="AD432" s="186" t="n">
        <f aca="false">IF(AND(ISNUMBER($T432),$P432="高"),IF($T432=3,1,0),0)</f>
        <v>0</v>
      </c>
      <c r="AE432" s="186" t="n">
        <f aca="false">IF($S432="不存在",1,0)</f>
        <v>0</v>
      </c>
      <c r="AF432" s="35" t="n">
        <f aca="false">IF(OR($H432="—",$H432=""),"—",MATCH($H432,IDX_SrcID,0))</f>
        <v>207</v>
      </c>
      <c r="AG432" s="104" t="n">
        <f aca="false">IF(AND($P432="高",OR($AD432=1,$X432=1)),1,0)</f>
        <v>0</v>
      </c>
      <c r="AH432" s="104" t="n">
        <f aca="false">IF(AND($P432="高",$AG432=0,OR($F432&lt;&gt;"原始數據",$T432&lt;&gt;1)),1,0)</f>
        <v>0</v>
      </c>
      <c r="AI432" s="53" t="str">
        <f aca="false">IF(AND($P432="高",ISNUMBER($AF432)),INDEX(IDX_SrcDate,$AF432),"—")</f>
        <v>—</v>
      </c>
      <c r="AJ432" s="104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6" t="s">
        <v>4202</v>
      </c>
      <c r="B433" s="215" t="s">
        <v>4196</v>
      </c>
      <c r="C433" s="36" t="s">
        <v>4197</v>
      </c>
      <c r="D433" s="36" t="s">
        <v>3501</v>
      </c>
      <c r="E433" s="19" t="s">
        <v>4203</v>
      </c>
      <c r="F433" s="215" t="s">
        <v>298</v>
      </c>
      <c r="G433" s="215" t="s">
        <v>3185</v>
      </c>
      <c r="H433" s="36" t="s">
        <v>4204</v>
      </c>
      <c r="I433" s="19" t="s">
        <v>3220</v>
      </c>
      <c r="J433" s="36" t="s">
        <v>587</v>
      </c>
      <c r="K433" s="215"/>
      <c r="L433" s="215"/>
      <c r="M433" s="36" t="s">
        <v>587</v>
      </c>
      <c r="N433" s="19" t="s">
        <v>3318</v>
      </c>
      <c r="O433" s="6" t="s">
        <v>587</v>
      </c>
      <c r="P433" s="215" t="s">
        <v>3244</v>
      </c>
      <c r="Q433" s="41" t="n">
        <f aca="false">Train_In!C26</f>
        <v>4096</v>
      </c>
      <c r="R433" s="185" t="n">
        <f aca="false">SRC_MOD_031</f>
        <v>4096</v>
      </c>
      <c r="S433" s="35" t="str">
        <f aca="false">IF(ISNUMBER($AF433),INDEX(IDX_SrcStat,$AF433),"—")</f>
        <v>Active</v>
      </c>
      <c r="T433" s="35" t="n">
        <f aca="false">IF(ISNUMBER($AF433),INDEX(IDX_SrcGrade,$AF433),"—")</f>
        <v>1</v>
      </c>
      <c r="U433" s="35" t="s">
        <v>3222</v>
      </c>
      <c r="V433" s="186" t="n">
        <f aca="false">IF(AND($F433="原始數據",$U433&lt;&gt;"連結 SRC"),1,0)</f>
        <v>0</v>
      </c>
      <c r="W433" s="186" t="n">
        <f aca="false">IF(AND($F433="Analogy",OR($H433="—",$H433="")),1,0)</f>
        <v>0</v>
      </c>
      <c r="X433" s="186" t="n">
        <f aca="false">IF(AND(OR($F433="Analogy",$F433="Assumed"),$G433&lt;&gt;"低",$G433&lt;&gt;"高",NOT(ISNUMBER($K433)),NOT(ISNUMBER($L433)),OR($M433="—",$M433="")),1,0)</f>
        <v>0</v>
      </c>
      <c r="Y433" s="186" t="n">
        <f aca="false">IF(AND(OR($F433="Analogy",$F433="Assumed",$F433="Derived（待改公式）",$F433="Derived（公式）"),OR($N433="—",$N433="",$N433=0)),1,0)</f>
        <v>0</v>
      </c>
      <c r="Z433" s="186" t="n">
        <f aca="false">IF(AND($F433="Decision",OR($J433="—",$J433="")),1,0)</f>
        <v>0</v>
      </c>
      <c r="AA433" s="183" t="n">
        <f aca="false">IF(OR($J433="—",$J433=""),0,IF(COUNTIF(Decisions!$A$5:$A$300,$J433)=0,1,0))</f>
        <v>0</v>
      </c>
      <c r="AB433" s="186" t="n">
        <f aca="false">IF(AND($F433="原始數據",$S433&lt;&gt;"Active"),1,0)</f>
        <v>0</v>
      </c>
      <c r="AC433" s="186" t="n">
        <f aca="false">IF(AND(ISNUMBER($K433),ISNUMBER($L433),ISNUMBER($Q433)),IF(OR($Q433&lt;MIN($K433,$L433),$Q433&gt;MAX($K433,$L433)),1,0),0)</f>
        <v>0</v>
      </c>
      <c r="AD433" s="186" t="n">
        <f aca="false">IF(AND(ISNUMBER($T433),$P433="高"),IF($T433=3,1,0),0)</f>
        <v>0</v>
      </c>
      <c r="AE433" s="186" t="n">
        <f aca="false">IF($S433="不存在",1,0)</f>
        <v>0</v>
      </c>
      <c r="AF433" s="35" t="n">
        <f aca="false">IF(OR($H433="—",$H433=""),"—",MATCH($H433,IDX_SrcID,0))</f>
        <v>208</v>
      </c>
      <c r="AG433" s="104" t="n">
        <f aca="false">IF(AND($P433="高",OR($AD433=1,$X433=1)),1,0)</f>
        <v>0</v>
      </c>
      <c r="AH433" s="104" t="n">
        <f aca="false">IF(AND($P433="高",$AG433=0,OR($F433&lt;&gt;"原始數據",$T433&lt;&gt;1)),1,0)</f>
        <v>0</v>
      </c>
      <c r="AI433" s="53" t="str">
        <f aca="false">IF(AND($P433="高",ISNUMBER($AF433)),INDEX(IDX_SrcDate,$AF433),"—")</f>
        <v>—</v>
      </c>
      <c r="AJ433" s="104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6" t="s">
        <v>4205</v>
      </c>
      <c r="B434" s="215" t="s">
        <v>4196</v>
      </c>
      <c r="C434" s="36" t="s">
        <v>4197</v>
      </c>
      <c r="D434" s="36" t="s">
        <v>3504</v>
      </c>
      <c r="E434" s="19" t="s">
        <v>4203</v>
      </c>
      <c r="F434" s="215" t="s">
        <v>298</v>
      </c>
      <c r="G434" s="215" t="s">
        <v>3185</v>
      </c>
      <c r="H434" s="36" t="s">
        <v>4204</v>
      </c>
      <c r="I434" s="19" t="s">
        <v>3220</v>
      </c>
      <c r="J434" s="36" t="s">
        <v>587</v>
      </c>
      <c r="K434" s="215"/>
      <c r="L434" s="215"/>
      <c r="M434" s="36" t="s">
        <v>587</v>
      </c>
      <c r="N434" s="19" t="s">
        <v>3318</v>
      </c>
      <c r="O434" s="6" t="s">
        <v>587</v>
      </c>
      <c r="P434" s="215" t="s">
        <v>3244</v>
      </c>
      <c r="Q434" s="41" t="n">
        <f aca="false">Train_In!D26</f>
        <v>4096</v>
      </c>
      <c r="R434" s="185" t="n">
        <f aca="false">SRC_MOD_031</f>
        <v>4096</v>
      </c>
      <c r="S434" s="35" t="str">
        <f aca="false">IF(ISNUMBER($AF434),INDEX(IDX_SrcStat,$AF434),"—")</f>
        <v>Active</v>
      </c>
      <c r="T434" s="35" t="n">
        <f aca="false">IF(ISNUMBER($AF434),INDEX(IDX_SrcGrade,$AF434),"—")</f>
        <v>1</v>
      </c>
      <c r="U434" s="35" t="s">
        <v>3222</v>
      </c>
      <c r="V434" s="186" t="n">
        <f aca="false">IF(AND($F434="原始數據",$U434&lt;&gt;"連結 SRC"),1,0)</f>
        <v>0</v>
      </c>
      <c r="W434" s="186" t="n">
        <f aca="false">IF(AND($F434="Analogy",OR($H434="—",$H434="")),1,0)</f>
        <v>0</v>
      </c>
      <c r="X434" s="186" t="n">
        <f aca="false">IF(AND(OR($F434="Analogy",$F434="Assumed"),$G434&lt;&gt;"低",$G434&lt;&gt;"高",NOT(ISNUMBER($K434)),NOT(ISNUMBER($L434)),OR($M434="—",$M434="")),1,0)</f>
        <v>0</v>
      </c>
      <c r="Y434" s="186" t="n">
        <f aca="false">IF(AND(OR($F434="Analogy",$F434="Assumed",$F434="Derived（待改公式）",$F434="Derived（公式）"),OR($N434="—",$N434="",$N434=0)),1,0)</f>
        <v>0</v>
      </c>
      <c r="Z434" s="186" t="n">
        <f aca="false">IF(AND($F434="Decision",OR($J434="—",$J434="")),1,0)</f>
        <v>0</v>
      </c>
      <c r="AA434" s="183" t="n">
        <f aca="false">IF(OR($J434="—",$J434=""),0,IF(COUNTIF(Decisions!$A$5:$A$300,$J434)=0,1,0))</f>
        <v>0</v>
      </c>
      <c r="AB434" s="186" t="n">
        <f aca="false">IF(AND($F434="原始數據",$S434&lt;&gt;"Active"),1,0)</f>
        <v>0</v>
      </c>
      <c r="AC434" s="186" t="n">
        <f aca="false">IF(AND(ISNUMBER($K434),ISNUMBER($L434),ISNUMBER($Q434)),IF(OR($Q434&lt;MIN($K434,$L434),$Q434&gt;MAX($K434,$L434)),1,0),0)</f>
        <v>0</v>
      </c>
      <c r="AD434" s="186" t="n">
        <f aca="false">IF(AND(ISNUMBER($T434),$P434="高"),IF($T434=3,1,0),0)</f>
        <v>0</v>
      </c>
      <c r="AE434" s="186" t="n">
        <f aca="false">IF($S434="不存在",1,0)</f>
        <v>0</v>
      </c>
      <c r="AF434" s="35" t="n">
        <f aca="false">IF(OR($H434="—",$H434=""),"—",MATCH($H434,IDX_SrcID,0))</f>
        <v>208</v>
      </c>
      <c r="AG434" s="104" t="n">
        <f aca="false">IF(AND($P434="高",OR($AD434=1,$X434=1)),1,0)</f>
        <v>0</v>
      </c>
      <c r="AH434" s="104" t="n">
        <f aca="false">IF(AND($P434="高",$AG434=0,OR($F434&lt;&gt;"原始數據",$T434&lt;&gt;1)),1,0)</f>
        <v>0</v>
      </c>
      <c r="AI434" s="53" t="str">
        <f aca="false">IF(AND($P434="高",ISNUMBER($AF434)),INDEX(IDX_SrcDate,$AF434),"—")</f>
        <v>—</v>
      </c>
      <c r="AJ434" s="104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6" t="s">
        <v>4206</v>
      </c>
      <c r="B435" s="215" t="s">
        <v>4196</v>
      </c>
      <c r="C435" s="36" t="s">
        <v>4197</v>
      </c>
      <c r="D435" s="36" t="s">
        <v>3646</v>
      </c>
      <c r="E435" s="6" t="s">
        <v>945</v>
      </c>
      <c r="F435" s="215" t="s">
        <v>298</v>
      </c>
      <c r="G435" s="215" t="s">
        <v>3185</v>
      </c>
      <c r="H435" s="36" t="s">
        <v>4207</v>
      </c>
      <c r="I435" s="19" t="s">
        <v>3220</v>
      </c>
      <c r="J435" s="36" t="s">
        <v>587</v>
      </c>
      <c r="K435" s="215"/>
      <c r="L435" s="215"/>
      <c r="M435" s="36" t="s">
        <v>587</v>
      </c>
      <c r="N435" s="19" t="s">
        <v>3318</v>
      </c>
      <c r="O435" s="6" t="s">
        <v>587</v>
      </c>
      <c r="P435" s="215" t="s">
        <v>3188</v>
      </c>
      <c r="Q435" s="178" t="n">
        <f aca="false">Train_In!C41</f>
        <v>14.8</v>
      </c>
      <c r="R435" s="185" t="n">
        <f aca="false">SRC_MOD_039</f>
        <v>14.8</v>
      </c>
      <c r="S435" s="35" t="str">
        <f aca="false">IF(ISNUMBER($AF435),INDEX(IDX_SrcStat,$AF435),"—")</f>
        <v>Active</v>
      </c>
      <c r="T435" s="35" t="n">
        <f aca="false">IF(ISNUMBER($AF435),INDEX(IDX_SrcGrade,$AF435),"—")</f>
        <v>3</v>
      </c>
      <c r="U435" s="35" t="s">
        <v>3222</v>
      </c>
      <c r="V435" s="186" t="n">
        <f aca="false">IF(AND($F435="原始數據",$U435&lt;&gt;"連結 SRC"),1,0)</f>
        <v>0</v>
      </c>
      <c r="W435" s="186" t="n">
        <f aca="false">IF(AND($F435="Analogy",OR($H435="—",$H435="")),1,0)</f>
        <v>0</v>
      </c>
      <c r="X435" s="186" t="n">
        <f aca="false">IF(AND(OR($F435="Analogy",$F435="Assumed"),$G435&lt;&gt;"低",$G435&lt;&gt;"高",NOT(ISNUMBER($K435)),NOT(ISNUMBER($L435)),OR($M435="—",$M435="")),1,0)</f>
        <v>0</v>
      </c>
      <c r="Y435" s="186" t="n">
        <f aca="false">IF(AND(OR($F435="Analogy",$F435="Assumed",$F435="Derived（待改公式）",$F435="Derived（公式）"),OR($N435="—",$N435="",$N435=0)),1,0)</f>
        <v>0</v>
      </c>
      <c r="Z435" s="186" t="n">
        <f aca="false">IF(AND($F435="Decision",OR($J435="—",$J435="")),1,0)</f>
        <v>0</v>
      </c>
      <c r="AA435" s="183" t="n">
        <f aca="false">IF(OR($J435="—",$J435=""),0,IF(COUNTIF(Decisions!$A$5:$A$300,$J435)=0,1,0))</f>
        <v>0</v>
      </c>
      <c r="AB435" s="186" t="n">
        <f aca="false">IF(AND($F435="原始數據",$S435&lt;&gt;"Active"),1,0)</f>
        <v>0</v>
      </c>
      <c r="AC435" s="186" t="n">
        <f aca="false">IF(AND(ISNUMBER($K435),ISNUMBER($L435),ISNUMBER($Q435)),IF(OR($Q435&lt;MIN($K435,$L435),$Q435&gt;MAX($K435,$L435)),1,0),0)</f>
        <v>0</v>
      </c>
      <c r="AD435" s="186" t="n">
        <f aca="false">IF(AND(ISNUMBER($T435),$P435="高"),IF($T435=3,1,0),0)</f>
        <v>0</v>
      </c>
      <c r="AE435" s="186" t="n">
        <f aca="false">IF($S435="不存在",1,0)</f>
        <v>0</v>
      </c>
      <c r="AF435" s="35" t="n">
        <f aca="false">IF(OR($H435="—",$H435=""),"—",MATCH($H435,IDX_SrcID,0))</f>
        <v>216</v>
      </c>
      <c r="AG435" s="104" t="n">
        <f aca="false">IF(AND($P435="高",OR($AD435=1,$X435=1)),1,0)</f>
        <v>0</v>
      </c>
      <c r="AH435" s="104" t="n">
        <f aca="false">IF(AND($P435="高",$AG435=0,OR($F435&lt;&gt;"原始數據",$T435&lt;&gt;1)),1,0)</f>
        <v>0</v>
      </c>
      <c r="AI435" s="53" t="str">
        <f aca="false">IF(AND($P435="高",ISNUMBER($AF435)),INDEX(IDX_SrcDate,$AF435),"—")</f>
        <v>—</v>
      </c>
      <c r="AJ435" s="104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6" t="s">
        <v>4208</v>
      </c>
      <c r="B436" s="215" t="s">
        <v>4196</v>
      </c>
      <c r="C436" s="36" t="s">
        <v>4197</v>
      </c>
      <c r="D436" s="36" t="s">
        <v>4209</v>
      </c>
      <c r="E436" s="6" t="s">
        <v>947</v>
      </c>
      <c r="F436" s="215" t="s">
        <v>298</v>
      </c>
      <c r="G436" s="215" t="s">
        <v>3185</v>
      </c>
      <c r="H436" s="36" t="s">
        <v>4210</v>
      </c>
      <c r="I436" s="19" t="s">
        <v>3220</v>
      </c>
      <c r="J436" s="36" t="s">
        <v>587</v>
      </c>
      <c r="K436" s="215"/>
      <c r="L436" s="215"/>
      <c r="M436" s="36" t="s">
        <v>587</v>
      </c>
      <c r="N436" s="19" t="s">
        <v>3318</v>
      </c>
      <c r="O436" s="6" t="s">
        <v>587</v>
      </c>
      <c r="P436" s="215" t="s">
        <v>3188</v>
      </c>
      <c r="Q436" s="38" t="n">
        <f aca="false">Train_In!C42</f>
        <v>2.664</v>
      </c>
      <c r="R436" s="185" t="n">
        <f aca="false">SRC_MOD_040</f>
        <v>2.664</v>
      </c>
      <c r="S436" s="35" t="str">
        <f aca="false">IF(ISNUMBER($AF436),INDEX(IDX_SrcStat,$AF436),"—")</f>
        <v>Active</v>
      </c>
      <c r="T436" s="35" t="n">
        <f aca="false">IF(ISNUMBER($AF436),INDEX(IDX_SrcGrade,$AF436),"—")</f>
        <v>3</v>
      </c>
      <c r="U436" s="35" t="s">
        <v>3222</v>
      </c>
      <c r="V436" s="186" t="n">
        <f aca="false">IF(AND($F436="原始數據",$U436&lt;&gt;"連結 SRC"),1,0)</f>
        <v>0</v>
      </c>
      <c r="W436" s="186" t="n">
        <f aca="false">IF(AND($F436="Analogy",OR($H436="—",$H436="")),1,0)</f>
        <v>0</v>
      </c>
      <c r="X436" s="186" t="n">
        <f aca="false">IF(AND(OR($F436="Analogy",$F436="Assumed"),$G436&lt;&gt;"低",$G436&lt;&gt;"高",NOT(ISNUMBER($K436)),NOT(ISNUMBER($L436)),OR($M436="—",$M436="")),1,0)</f>
        <v>0</v>
      </c>
      <c r="Y436" s="186" t="n">
        <f aca="false">IF(AND(OR($F436="Analogy",$F436="Assumed",$F436="Derived（待改公式）",$F436="Derived（公式）"),OR($N436="—",$N436="",$N436=0)),1,0)</f>
        <v>0</v>
      </c>
      <c r="Z436" s="186" t="n">
        <f aca="false">IF(AND($F436="Decision",OR($J436="—",$J436="")),1,0)</f>
        <v>0</v>
      </c>
      <c r="AA436" s="183" t="n">
        <f aca="false">IF(OR($J436="—",$J436=""),0,IF(COUNTIF(Decisions!$A$5:$A$300,$J436)=0,1,0))</f>
        <v>0</v>
      </c>
      <c r="AB436" s="186" t="n">
        <f aca="false">IF(AND($F436="原始數據",$S436&lt;&gt;"Active"),1,0)</f>
        <v>0</v>
      </c>
      <c r="AC436" s="186" t="n">
        <f aca="false">IF(AND(ISNUMBER($K436),ISNUMBER($L436),ISNUMBER($Q436)),IF(OR($Q436&lt;MIN($K436,$L436),$Q436&gt;MAX($K436,$L436)),1,0),0)</f>
        <v>0</v>
      </c>
      <c r="AD436" s="186" t="n">
        <f aca="false">IF(AND(ISNUMBER($T436),$P436="高"),IF($T436=3,1,0),0)</f>
        <v>0</v>
      </c>
      <c r="AE436" s="186" t="n">
        <f aca="false">IF($S436="不存在",1,0)</f>
        <v>0</v>
      </c>
      <c r="AF436" s="35" t="n">
        <f aca="false">IF(OR($H436="—",$H436=""),"—",MATCH($H436,IDX_SrcID,0))</f>
        <v>217</v>
      </c>
      <c r="AG436" s="104" t="n">
        <f aca="false">IF(AND($P436="高",OR($AD436=1,$X436=1)),1,0)</f>
        <v>0</v>
      </c>
      <c r="AH436" s="104" t="n">
        <f aca="false">IF(AND($P436="高",$AG436=0,OR($F436&lt;&gt;"原始數據",$T436&lt;&gt;1)),1,0)</f>
        <v>0</v>
      </c>
      <c r="AI436" s="53" t="str">
        <f aca="false">IF(AND($P436="高",ISNUMBER($AF436)),INDEX(IDX_SrcDate,$AF436),"—")</f>
        <v>—</v>
      </c>
      <c r="AJ436" s="104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6" t="s">
        <v>4211</v>
      </c>
      <c r="B437" s="215" t="s">
        <v>4196</v>
      </c>
      <c r="C437" s="36" t="s">
        <v>4197</v>
      </c>
      <c r="D437" s="36" t="s">
        <v>4212</v>
      </c>
      <c r="E437" s="6" t="s">
        <v>950</v>
      </c>
      <c r="F437" s="215" t="s">
        <v>298</v>
      </c>
      <c r="G437" s="215" t="s">
        <v>3185</v>
      </c>
      <c r="H437" s="36" t="s">
        <v>4213</v>
      </c>
      <c r="I437" s="19" t="s">
        <v>3220</v>
      </c>
      <c r="J437" s="36" t="s">
        <v>587</v>
      </c>
      <c r="K437" s="215"/>
      <c r="L437" s="215"/>
      <c r="M437" s="36" t="s">
        <v>587</v>
      </c>
      <c r="N437" s="19" t="s">
        <v>3318</v>
      </c>
      <c r="O437" s="6" t="s">
        <v>587</v>
      </c>
      <c r="P437" s="215" t="s">
        <v>3188</v>
      </c>
      <c r="Q437" s="41" t="n">
        <f aca="false">Train_In!C43</f>
        <v>4096</v>
      </c>
      <c r="R437" s="185" t="n">
        <f aca="false">SRC_MOD_042</f>
        <v>4096</v>
      </c>
      <c r="S437" s="35" t="str">
        <f aca="false">IF(ISNUMBER($AF437),INDEX(IDX_SrcStat,$AF437),"—")</f>
        <v>Active</v>
      </c>
      <c r="T437" s="35" t="n">
        <f aca="false">IF(ISNUMBER($AF437),INDEX(IDX_SrcGrade,$AF437),"—")</f>
        <v>3</v>
      </c>
      <c r="U437" s="35" t="s">
        <v>3222</v>
      </c>
      <c r="V437" s="186" t="n">
        <f aca="false">IF(AND($F437="原始數據",$U437&lt;&gt;"連結 SRC"),1,0)</f>
        <v>0</v>
      </c>
      <c r="W437" s="186" t="n">
        <f aca="false">IF(AND($F437="Analogy",OR($H437="—",$H437="")),1,0)</f>
        <v>0</v>
      </c>
      <c r="X437" s="186" t="n">
        <f aca="false">IF(AND(OR($F437="Analogy",$F437="Assumed"),$G437&lt;&gt;"低",$G437&lt;&gt;"高",NOT(ISNUMBER($K437)),NOT(ISNUMBER($L437)),OR($M437="—",$M437="")),1,0)</f>
        <v>0</v>
      </c>
      <c r="Y437" s="186" t="n">
        <f aca="false">IF(AND(OR($F437="Analogy",$F437="Assumed",$F437="Derived（待改公式）",$F437="Derived（公式）"),OR($N437="—",$N437="",$N437=0)),1,0)</f>
        <v>0</v>
      </c>
      <c r="Z437" s="186" t="n">
        <f aca="false">IF(AND($F437="Decision",OR($J437="—",$J437="")),1,0)</f>
        <v>0</v>
      </c>
      <c r="AA437" s="183" t="n">
        <f aca="false">IF(OR($J437="—",$J437=""),0,IF(COUNTIF(Decisions!$A$5:$A$300,$J437)=0,1,0))</f>
        <v>0</v>
      </c>
      <c r="AB437" s="186" t="n">
        <f aca="false">IF(AND($F437="原始數據",$S437&lt;&gt;"Active"),1,0)</f>
        <v>0</v>
      </c>
      <c r="AC437" s="186" t="n">
        <f aca="false">IF(AND(ISNUMBER($K437),ISNUMBER($L437),ISNUMBER($Q437)),IF(OR($Q437&lt;MIN($K437,$L437),$Q437&gt;MAX($K437,$L437)),1,0),0)</f>
        <v>0</v>
      </c>
      <c r="AD437" s="186" t="n">
        <f aca="false">IF(AND(ISNUMBER($T437),$P437="高"),IF($T437=3,1,0),0)</f>
        <v>0</v>
      </c>
      <c r="AE437" s="186" t="n">
        <f aca="false">IF($S437="不存在",1,0)</f>
        <v>0</v>
      </c>
      <c r="AF437" s="35" t="n">
        <f aca="false">IF(OR($H437="—",$H437=""),"—",MATCH($H437,IDX_SrcID,0))</f>
        <v>219</v>
      </c>
      <c r="AG437" s="104" t="n">
        <f aca="false">IF(AND($P437="高",OR($AD437=1,$X437=1)),1,0)</f>
        <v>0</v>
      </c>
      <c r="AH437" s="104" t="n">
        <f aca="false">IF(AND($P437="高",$AG437=0,OR($F437&lt;&gt;"原始數據",$T437&lt;&gt;1)),1,0)</f>
        <v>0</v>
      </c>
      <c r="AI437" s="53" t="str">
        <f aca="false">IF(AND($P437="高",ISNUMBER($AF437)),INDEX(IDX_SrcDate,$AF437),"—")</f>
        <v>—</v>
      </c>
      <c r="AJ437" s="104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6" t="s">
        <v>4214</v>
      </c>
      <c r="B438" s="215" t="s">
        <v>4196</v>
      </c>
      <c r="C438" s="36" t="s">
        <v>4197</v>
      </c>
      <c r="D438" s="36" t="s">
        <v>4215</v>
      </c>
      <c r="E438" s="6" t="s">
        <v>954</v>
      </c>
      <c r="F438" s="215" t="s">
        <v>298</v>
      </c>
      <c r="G438" s="215" t="s">
        <v>3185</v>
      </c>
      <c r="H438" s="36" t="s">
        <v>2424</v>
      </c>
      <c r="I438" s="19" t="s">
        <v>3220</v>
      </c>
      <c r="J438" s="36" t="s">
        <v>587</v>
      </c>
      <c r="K438" s="215"/>
      <c r="L438" s="215"/>
      <c r="M438" s="36" t="s">
        <v>587</v>
      </c>
      <c r="N438" s="19" t="s">
        <v>3318</v>
      </c>
      <c r="O438" s="6" t="s">
        <v>587</v>
      </c>
      <c r="P438" s="215" t="s">
        <v>3188</v>
      </c>
      <c r="Q438" s="182" t="n">
        <f aca="false">Train_In!C45</f>
        <v>1</v>
      </c>
      <c r="R438" s="185" t="n">
        <f aca="false">SRC_MOD_036</f>
        <v>1</v>
      </c>
      <c r="S438" s="35" t="str">
        <f aca="false">IF(ISNUMBER($AF438),INDEX(IDX_SrcStat,$AF438),"—")</f>
        <v>Active</v>
      </c>
      <c r="T438" s="35" t="n">
        <f aca="false">IF(ISNUMBER($AF438),INDEX(IDX_SrcGrade,$AF438),"—")</f>
        <v>1</v>
      </c>
      <c r="U438" s="35" t="s">
        <v>3222</v>
      </c>
      <c r="V438" s="186" t="n">
        <f aca="false">IF(AND($F438="原始數據",$U438&lt;&gt;"連結 SRC"),1,0)</f>
        <v>0</v>
      </c>
      <c r="W438" s="186" t="n">
        <f aca="false">IF(AND($F438="Analogy",OR($H438="—",$H438="")),1,0)</f>
        <v>0</v>
      </c>
      <c r="X438" s="186" t="n">
        <f aca="false">IF(AND(OR($F438="Analogy",$F438="Assumed"),$G438&lt;&gt;"低",$G438&lt;&gt;"高",NOT(ISNUMBER($K438)),NOT(ISNUMBER($L438)),OR($M438="—",$M438="")),1,0)</f>
        <v>0</v>
      </c>
      <c r="Y438" s="186" t="n">
        <f aca="false">IF(AND(OR($F438="Analogy",$F438="Assumed",$F438="Derived（待改公式）",$F438="Derived（公式）"),OR($N438="—",$N438="",$N438=0)),1,0)</f>
        <v>0</v>
      </c>
      <c r="Z438" s="186" t="n">
        <f aca="false">IF(AND($F438="Decision",OR($J438="—",$J438="")),1,0)</f>
        <v>0</v>
      </c>
      <c r="AA438" s="183" t="n">
        <f aca="false">IF(OR($J438="—",$J438=""),0,IF(COUNTIF(Decisions!$A$5:$A$300,$J438)=0,1,0))</f>
        <v>0</v>
      </c>
      <c r="AB438" s="186" t="n">
        <f aca="false">IF(AND($F438="原始數據",$S438&lt;&gt;"Active"),1,0)</f>
        <v>0</v>
      </c>
      <c r="AC438" s="186" t="n">
        <f aca="false">IF(AND(ISNUMBER($K438),ISNUMBER($L438),ISNUMBER($Q438)),IF(OR($Q438&lt;MIN($K438,$L438),$Q438&gt;MAX($K438,$L438)),1,0),0)</f>
        <v>0</v>
      </c>
      <c r="AD438" s="186" t="n">
        <f aca="false">IF(AND(ISNUMBER($T438),$P438="高"),IF($T438=3,1,0),0)</f>
        <v>0</v>
      </c>
      <c r="AE438" s="186" t="n">
        <f aca="false">IF($S438="不存在",1,0)</f>
        <v>0</v>
      </c>
      <c r="AF438" s="35" t="n">
        <f aca="false">IF(OR($H438="—",$H438=""),"—",MATCH($H438,IDX_SrcID,0))</f>
        <v>213</v>
      </c>
      <c r="AG438" s="104" t="n">
        <f aca="false">IF(AND($P438="高",OR($AD438=1,$X438=1)),1,0)</f>
        <v>0</v>
      </c>
      <c r="AH438" s="104" t="n">
        <f aca="false">IF(AND($P438="高",$AG438=0,OR($F438&lt;&gt;"原始數據",$T438&lt;&gt;1)),1,0)</f>
        <v>0</v>
      </c>
      <c r="AI438" s="53" t="str">
        <f aca="false">IF(AND($P438="高",ISNUMBER($AF438)),INDEX(IDX_SrcDate,$AF438),"—")</f>
        <v>—</v>
      </c>
      <c r="AJ438" s="104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6" t="s">
        <v>4216</v>
      </c>
      <c r="B439" s="215" t="s">
        <v>4196</v>
      </c>
      <c r="C439" s="36" t="s">
        <v>24</v>
      </c>
      <c r="D439" s="36" t="s">
        <v>4217</v>
      </c>
      <c r="E439" s="6" t="s">
        <v>634</v>
      </c>
      <c r="F439" s="215" t="s">
        <v>298</v>
      </c>
      <c r="G439" s="215" t="s">
        <v>3185</v>
      </c>
      <c r="H439" s="36" t="s">
        <v>4218</v>
      </c>
      <c r="I439" s="19" t="s">
        <v>4219</v>
      </c>
      <c r="J439" s="36" t="s">
        <v>587</v>
      </c>
      <c r="K439" s="215"/>
      <c r="L439" s="215"/>
      <c r="M439" s="36" t="s">
        <v>587</v>
      </c>
      <c r="N439" s="6" t="s">
        <v>4220</v>
      </c>
      <c r="O439" s="6" t="s">
        <v>587</v>
      </c>
      <c r="P439" s="215" t="s">
        <v>3188</v>
      </c>
      <c r="Q439" s="183" t="n">
        <f aca="false">Tech_Registry!J14</f>
        <v>4</v>
      </c>
      <c r="R439" s="185" t="n">
        <f aca="false">SRC_MOD_043</f>
        <v>1</v>
      </c>
      <c r="S439" s="35" t="str">
        <f aca="false">IF(ISNUMBER($AF439),INDEX(IDX_SrcStat,$AF439),"—")</f>
        <v>Active</v>
      </c>
      <c r="T439" s="35" t="n">
        <f aca="false">IF(ISNUMBER($AF439),INDEX(IDX_SrcGrade,$AF439),"—")</f>
        <v>1</v>
      </c>
      <c r="U439" s="35" t="s">
        <v>3222</v>
      </c>
      <c r="V439" s="186" t="n">
        <f aca="false">IF(AND($F439="原始數據",$U439&lt;&gt;"連結 SRC"),1,0)</f>
        <v>0</v>
      </c>
      <c r="W439" s="186" t="n">
        <f aca="false">IF(AND($F439="Analogy",OR($H439="—",$H439="")),1,0)</f>
        <v>0</v>
      </c>
      <c r="X439" s="186" t="n">
        <f aca="false">IF(AND(OR($F439="Analogy",$F439="Assumed"),$G439&lt;&gt;"低",$G439&lt;&gt;"高",NOT(ISNUMBER($K439)),NOT(ISNUMBER($L439)),OR($M439="—",$M439="")),1,0)</f>
        <v>0</v>
      </c>
      <c r="Y439" s="186" t="n">
        <f aca="false">IF(AND(OR($F439="Analogy",$F439="Assumed",$F439="Derived（待改公式）",$F439="Derived（公式）"),OR($N439="—",$N439="",$N439=0)),1,0)</f>
        <v>0</v>
      </c>
      <c r="Z439" s="186" t="n">
        <f aca="false">IF(AND($F439="Decision",OR($J439="—",$J439="")),1,0)</f>
        <v>0</v>
      </c>
      <c r="AA439" s="183" t="n">
        <f aca="false">IF(OR($J439="—",$J439=""),0,IF(COUNTIF(Decisions!$A$5:$A$300,$J439)=0,1,0))</f>
        <v>0</v>
      </c>
      <c r="AB439" s="186" t="n">
        <f aca="false">IF(AND($F439="原始數據",$S439&lt;&gt;"Active"),1,0)</f>
        <v>0</v>
      </c>
      <c r="AC439" s="186" t="n">
        <f aca="false">IF(AND(ISNUMBER($K439),ISNUMBER($L439),ISNUMBER($Q439)),IF(OR($Q439&lt;MIN($K439,$L439),$Q439&gt;MAX($K439,$L439)),1,0),0)</f>
        <v>0</v>
      </c>
      <c r="AD439" s="186" t="n">
        <f aca="false">IF(AND(ISNUMBER($T439),$P439="高"),IF($T439=3,1,0),0)</f>
        <v>0</v>
      </c>
      <c r="AE439" s="186" t="n">
        <f aca="false">IF($S439="不存在",1,0)</f>
        <v>0</v>
      </c>
      <c r="AF439" s="35" t="n">
        <f aca="false">IF(OR($H439="—",$H439=""),"—",MATCH($H439,IDX_SrcID,0))</f>
        <v>220</v>
      </c>
      <c r="AG439" s="104" t="n">
        <f aca="false">IF(AND($P439="高",OR($AD439=1,$X439=1)),1,0)</f>
        <v>0</v>
      </c>
      <c r="AH439" s="104" t="n">
        <f aca="false">IF(AND($P439="高",$AG439=0,OR($F439&lt;&gt;"原始數據",$T439&lt;&gt;1)),1,0)</f>
        <v>0</v>
      </c>
      <c r="AI439" s="53" t="str">
        <f aca="false">IF(AND($P439="高",ISNUMBER($AF439)),INDEX(IDX_SrcDate,$AF439),"—")</f>
        <v>—</v>
      </c>
      <c r="AJ439" s="104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6" t="s">
        <v>4221</v>
      </c>
      <c r="B440" s="215" t="s">
        <v>3183</v>
      </c>
      <c r="C440" s="36" t="s">
        <v>3661</v>
      </c>
      <c r="D440" s="36" t="s">
        <v>3581</v>
      </c>
      <c r="E440" s="19" t="s">
        <v>4222</v>
      </c>
      <c r="F440" s="36" t="s">
        <v>80</v>
      </c>
      <c r="G440" s="215" t="s">
        <v>3185</v>
      </c>
      <c r="H440" s="36" t="s">
        <v>587</v>
      </c>
      <c r="I440" s="6" t="s">
        <v>587</v>
      </c>
      <c r="J440" s="36" t="s">
        <v>587</v>
      </c>
      <c r="K440" s="215"/>
      <c r="L440" s="215"/>
      <c r="M440" s="215" t="s">
        <v>3102</v>
      </c>
      <c r="N440" s="19" t="s">
        <v>4223</v>
      </c>
      <c r="O440" s="6" t="s">
        <v>587</v>
      </c>
      <c r="P440" s="215" t="s">
        <v>3188</v>
      </c>
      <c r="Q440" s="41" t="n">
        <f aca="false">Arch!C32</f>
        <v>128000</v>
      </c>
      <c r="R440" s="36" t="s">
        <v>587</v>
      </c>
      <c r="S440" s="35" t="str">
        <f aca="false">IF(ISNUMBER($AF440),INDEX(IDX_SrcStat,$AF440),"—")</f>
        <v>—</v>
      </c>
      <c r="T440" s="35" t="str">
        <f aca="false">IF(ISNUMBER($AF440),INDEX(IDX_SrcGrade,$AF440),"—")</f>
        <v>—</v>
      </c>
      <c r="U440" s="35" t="s">
        <v>3189</v>
      </c>
      <c r="V440" s="186" t="n">
        <f aca="false">IF(AND($F440="原始數據",$U440&lt;&gt;"連結 SRC"),1,0)</f>
        <v>0</v>
      </c>
      <c r="W440" s="186" t="n">
        <f aca="false">IF(AND($F440="Analogy",OR($H440="—",$H440="")),1,0)</f>
        <v>0</v>
      </c>
      <c r="X440" s="186" t="n">
        <f aca="false">IF(AND(OR($F440="Analogy",$F440="Assumed"),$G440&lt;&gt;"低",$G440&lt;&gt;"高",NOT(ISNUMBER($K440)),NOT(ISNUMBER($L440)),OR($M440="—",$M440="")),1,0)</f>
        <v>0</v>
      </c>
      <c r="Y440" s="186" t="n">
        <f aca="false">IF(AND(OR($F440="Analogy",$F440="Assumed",$F440="Derived（待改公式）",$F440="Derived（公式）"),OR($N440="—",$N440="",$N440=0)),1,0)</f>
        <v>0</v>
      </c>
      <c r="Z440" s="186" t="n">
        <f aca="false">IF(AND($F440="Decision",OR($J440="—",$J440="")),1,0)</f>
        <v>0</v>
      </c>
      <c r="AA440" s="183" t="n">
        <f aca="false">IF(OR($J440="—",$J440=""),0,IF(COUNTIF(Decisions!$A$5:$A$300,$J440)=0,1,0))</f>
        <v>0</v>
      </c>
      <c r="AB440" s="186" t="n">
        <f aca="false">IF(AND($F440="原始數據",$S440&lt;&gt;"Active"),1,0)</f>
        <v>0</v>
      </c>
      <c r="AC440" s="186" t="n">
        <f aca="false">IF(AND(ISNUMBER($K440),ISNUMBER($L440),ISNUMBER($Q440)),IF(OR($Q440&lt;MIN($K440,$L440),$Q440&gt;MAX($K440,$L440)),1,0),0)</f>
        <v>0</v>
      </c>
      <c r="AD440" s="186" t="n">
        <f aca="false">IF(AND(ISNUMBER($T440),$P440="高"),IF($T440=3,1,0),0)</f>
        <v>0</v>
      </c>
      <c r="AE440" s="186" t="n">
        <f aca="false">IF($S440="不存在",1,0)</f>
        <v>0</v>
      </c>
      <c r="AF440" s="35" t="str">
        <f aca="false">IF(OR($H440="—",$H440=""),"—",MATCH($H440,IDX_SrcID,0))</f>
        <v>—</v>
      </c>
      <c r="AG440" s="104" t="n">
        <f aca="false">IF(AND($P440="高",OR($AD440=1,$X440=1)),1,0)</f>
        <v>0</v>
      </c>
      <c r="AH440" s="104" t="n">
        <f aca="false">IF(AND($P440="高",$AG440=0,OR($F440&lt;&gt;"原始數據",$T440&lt;&gt;1)),1,0)</f>
        <v>0</v>
      </c>
      <c r="AI440" s="53" t="str">
        <f aca="false">IF(AND($P440="高",ISNUMBER($AF440)),INDEX(IDX_SrcDate,$AF440),"—")</f>
        <v>—</v>
      </c>
      <c r="AJ440" s="104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6" t="s">
        <v>4224</v>
      </c>
      <c r="B441" s="215" t="s">
        <v>4225</v>
      </c>
      <c r="C441" s="36" t="s">
        <v>4226</v>
      </c>
      <c r="D441" s="36" t="s">
        <v>4227</v>
      </c>
      <c r="E441" s="19" t="s">
        <v>4228</v>
      </c>
      <c r="F441" s="215" t="s">
        <v>348</v>
      </c>
      <c r="G441" s="215" t="s">
        <v>3930</v>
      </c>
      <c r="H441" s="36" t="s">
        <v>587</v>
      </c>
      <c r="I441" s="6" t="s">
        <v>587</v>
      </c>
      <c r="J441" s="36" t="s">
        <v>587</v>
      </c>
      <c r="K441" s="215"/>
      <c r="L441" s="215"/>
      <c r="M441" s="36" t="s">
        <v>587</v>
      </c>
      <c r="N441" s="6" t="s">
        <v>4229</v>
      </c>
      <c r="O441" s="6" t="s">
        <v>587</v>
      </c>
      <c r="P441" s="36" t="s">
        <v>587</v>
      </c>
      <c r="Q441" s="185" t="s">
        <v>587</v>
      </c>
      <c r="R441" s="36" t="s">
        <v>587</v>
      </c>
      <c r="S441" s="35" t="str">
        <f aca="false">IF(ISNUMBER($AF441),INDEX(IDX_SrcStat,$AF441),"—")</f>
        <v>—</v>
      </c>
      <c r="T441" s="35" t="str">
        <f aca="false">IF(ISNUMBER($AF441),INDEX(IDX_SrcGrade,$AF441),"—")</f>
        <v>—</v>
      </c>
      <c r="U441" s="36" t="s">
        <v>587</v>
      </c>
      <c r="V441" s="186" t="n">
        <f aca="false">IF(AND($F441="原始數據",$U441&lt;&gt;"連結 SRC"),1,0)</f>
        <v>0</v>
      </c>
      <c r="W441" s="186" t="n">
        <f aca="false">IF(AND($F441="Analogy",OR($H441="—",$H441="")),1,0)</f>
        <v>0</v>
      </c>
      <c r="X441" s="186" t="n">
        <f aca="false">IF(AND(OR($F441="Analogy",$F441="Assumed"),$G441&lt;&gt;"低",$G441&lt;&gt;"高",NOT(ISNUMBER($K441)),NOT(ISNUMBER($L441)),OR($M441="—",$M441="")),1,0)</f>
        <v>0</v>
      </c>
      <c r="Y441" s="186" t="n">
        <f aca="false">IF(AND(OR($F441="Analogy",$F441="Assumed",$F441="Derived（待改公式）",$F441="Derived（公式）"),OR($N441="—",$N441="",$N441=0)),1,0)</f>
        <v>0</v>
      </c>
      <c r="Z441" s="186" t="n">
        <f aca="false">IF(AND($F441="Decision",OR($J441="—",$J441="")),1,0)</f>
        <v>0</v>
      </c>
      <c r="AA441" s="183" t="n">
        <f aca="false">IF(OR($J441="—",$J441=""),0,IF(COUNTIF(Decisions!$A$5:$A$300,$J441)=0,1,0))</f>
        <v>0</v>
      </c>
      <c r="AB441" s="186" t="n">
        <f aca="false">IF(AND($F441="原始數據",$S441&lt;&gt;"Active"),1,0)</f>
        <v>0</v>
      </c>
      <c r="AC441" s="186" t="n">
        <f aca="false">IF(AND(ISNUMBER($K441),ISNUMBER($L441),ISNUMBER($Q441)),IF(OR($Q441&lt;MIN($K441,$L441),$Q441&gt;MAX($K441,$L441)),1,0),0)</f>
        <v>0</v>
      </c>
      <c r="AD441" s="186" t="n">
        <f aca="false">IF(AND(ISNUMBER($T441),$P441="高"),IF($T441=3,1,0),0)</f>
        <v>0</v>
      </c>
      <c r="AE441" s="186" t="n">
        <f aca="false">IF($S441="不存在",1,0)</f>
        <v>0</v>
      </c>
      <c r="AF441" s="35" t="str">
        <f aca="false">IF(OR($H441="—",$H441=""),"—",MATCH($H441,IDX_SrcID,0))</f>
        <v>—</v>
      </c>
      <c r="AG441" s="104" t="n">
        <f aca="false">IF(AND($P441="高",OR($AD441=1,$X441=1)),1,0)</f>
        <v>0</v>
      </c>
      <c r="AH441" s="104" t="n">
        <f aca="false">IF(AND($P441="高",$AG441=0,OR($F441&lt;&gt;"原始數據",$T441&lt;&gt;1)),1,0)</f>
        <v>0</v>
      </c>
      <c r="AI441" s="53" t="str">
        <f aca="false">IF(AND($P441="高",ISNUMBER($AF441)),INDEX(IDX_SrcDate,$AF441),"—")</f>
        <v>—</v>
      </c>
      <c r="AJ441" s="104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6" t="s">
        <v>4230</v>
      </c>
      <c r="B442" s="215" t="s">
        <v>4225</v>
      </c>
      <c r="C442" s="36" t="s">
        <v>4226</v>
      </c>
      <c r="D442" s="36" t="s">
        <v>4231</v>
      </c>
      <c r="E442" s="19" t="s">
        <v>4232</v>
      </c>
      <c r="F442" s="215" t="s">
        <v>348</v>
      </c>
      <c r="G442" s="215" t="s">
        <v>3930</v>
      </c>
      <c r="H442" s="36" t="s">
        <v>587</v>
      </c>
      <c r="I442" s="6" t="s">
        <v>587</v>
      </c>
      <c r="J442" s="36" t="s">
        <v>587</v>
      </c>
      <c r="K442" s="215"/>
      <c r="L442" s="215"/>
      <c r="M442" s="36" t="s">
        <v>587</v>
      </c>
      <c r="N442" s="6" t="s">
        <v>4233</v>
      </c>
      <c r="O442" s="6" t="s">
        <v>587</v>
      </c>
      <c r="P442" s="36" t="s">
        <v>587</v>
      </c>
      <c r="Q442" s="185" t="s">
        <v>587</v>
      </c>
      <c r="R442" s="36" t="s">
        <v>587</v>
      </c>
      <c r="S442" s="35" t="str">
        <f aca="false">IF(ISNUMBER($AF442),INDEX(IDX_SrcStat,$AF442),"—")</f>
        <v>—</v>
      </c>
      <c r="T442" s="35" t="str">
        <f aca="false">IF(ISNUMBER($AF442),INDEX(IDX_SrcGrade,$AF442),"—")</f>
        <v>—</v>
      </c>
      <c r="U442" s="36" t="s">
        <v>587</v>
      </c>
      <c r="V442" s="186" t="n">
        <f aca="false">IF(AND($F442="原始數據",$U442&lt;&gt;"連結 SRC"),1,0)</f>
        <v>0</v>
      </c>
      <c r="W442" s="186" t="n">
        <f aca="false">IF(AND($F442="Analogy",OR($H442="—",$H442="")),1,0)</f>
        <v>0</v>
      </c>
      <c r="X442" s="186" t="n">
        <f aca="false">IF(AND(OR($F442="Analogy",$F442="Assumed"),$G442&lt;&gt;"低",$G442&lt;&gt;"高",NOT(ISNUMBER($K442)),NOT(ISNUMBER($L442)),OR($M442="—",$M442="")),1,0)</f>
        <v>0</v>
      </c>
      <c r="Y442" s="186" t="n">
        <f aca="false">IF(AND(OR($F442="Analogy",$F442="Assumed",$F442="Derived（待改公式）",$F442="Derived（公式）"),OR($N442="—",$N442="",$N442=0)),1,0)</f>
        <v>0</v>
      </c>
      <c r="Z442" s="186" t="n">
        <f aca="false">IF(AND($F442="Decision",OR($J442="—",$J442="")),1,0)</f>
        <v>0</v>
      </c>
      <c r="AA442" s="183" t="n">
        <f aca="false">IF(OR($J442="—",$J442=""),0,IF(COUNTIF(Decisions!$A$5:$A$300,$J442)=0,1,0))</f>
        <v>0</v>
      </c>
      <c r="AB442" s="186" t="n">
        <f aca="false">IF(AND($F442="原始數據",$S442&lt;&gt;"Active"),1,0)</f>
        <v>0</v>
      </c>
      <c r="AC442" s="186" t="n">
        <f aca="false">IF(AND(ISNUMBER($K442),ISNUMBER($L442),ISNUMBER($Q442)),IF(OR($Q442&lt;MIN($K442,$L442),$Q442&gt;MAX($K442,$L442)),1,0),0)</f>
        <v>0</v>
      </c>
      <c r="AD442" s="186" t="n">
        <f aca="false">IF(AND(ISNUMBER($T442),$P442="高"),IF($T442=3,1,0),0)</f>
        <v>0</v>
      </c>
      <c r="AE442" s="186" t="n">
        <f aca="false">IF($S442="不存在",1,0)</f>
        <v>0</v>
      </c>
      <c r="AF442" s="35" t="str">
        <f aca="false">IF(OR($H442="—",$H442=""),"—",MATCH($H442,IDX_SrcID,0))</f>
        <v>—</v>
      </c>
      <c r="AG442" s="104" t="n">
        <f aca="false">IF(AND($P442="高",OR($AD442=1,$X442=1)),1,0)</f>
        <v>0</v>
      </c>
      <c r="AH442" s="104" t="n">
        <f aca="false">IF(AND($P442="高",$AG442=0,OR($F442&lt;&gt;"原始數據",$T442&lt;&gt;1)),1,0)</f>
        <v>0</v>
      </c>
      <c r="AI442" s="53" t="str">
        <f aca="false">IF(AND($P442="高",ISNUMBER($AF442)),INDEX(IDX_SrcDate,$AF442),"—")</f>
        <v>—</v>
      </c>
      <c r="AJ442" s="104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6" t="s">
        <v>4234</v>
      </c>
      <c r="B443" s="215" t="s">
        <v>4225</v>
      </c>
      <c r="C443" s="36" t="s">
        <v>4235</v>
      </c>
      <c r="D443" s="36" t="s">
        <v>4236</v>
      </c>
      <c r="E443" s="6" t="s">
        <v>4237</v>
      </c>
      <c r="F443" s="215" t="s">
        <v>348</v>
      </c>
      <c r="G443" s="215" t="s">
        <v>3185</v>
      </c>
      <c r="H443" s="36" t="s">
        <v>587</v>
      </c>
      <c r="I443" s="6" t="s">
        <v>587</v>
      </c>
      <c r="J443" s="36" t="s">
        <v>587</v>
      </c>
      <c r="K443" s="215"/>
      <c r="L443" s="215"/>
      <c r="M443" s="36" t="s">
        <v>587</v>
      </c>
      <c r="N443" s="6" t="s">
        <v>4238</v>
      </c>
      <c r="O443" s="6" t="s">
        <v>587</v>
      </c>
      <c r="P443" s="215" t="s">
        <v>3188</v>
      </c>
      <c r="Q443" s="175" t="n">
        <f aca="false">Sens_Rev!B18</f>
        <v>0.5</v>
      </c>
      <c r="R443" s="36" t="s">
        <v>587</v>
      </c>
      <c r="S443" s="35" t="str">
        <f aca="false">IF(ISNUMBER($AF443),INDEX(IDX_SrcStat,$AF443),"—")</f>
        <v>—</v>
      </c>
      <c r="T443" s="35" t="str">
        <f aca="false">IF(ISNUMBER($AF443),INDEX(IDX_SrcGrade,$AF443),"—")</f>
        <v>—</v>
      </c>
      <c r="U443" s="35" t="s">
        <v>3189</v>
      </c>
      <c r="V443" s="186" t="n">
        <f aca="false">IF(AND($F443="原始數據",$U443&lt;&gt;"連結 SRC"),1,0)</f>
        <v>0</v>
      </c>
      <c r="W443" s="186" t="n">
        <f aca="false">IF(AND($F443="Analogy",OR($H443="—",$H443="")),1,0)</f>
        <v>0</v>
      </c>
      <c r="X443" s="186" t="n">
        <f aca="false">IF(AND(OR($F443="Analogy",$F443="Assumed"),$G443&lt;&gt;"低",$G443&lt;&gt;"高",NOT(ISNUMBER($K443)),NOT(ISNUMBER($L443)),OR($M443="—",$M443="")),1,0)</f>
        <v>0</v>
      </c>
      <c r="Y443" s="186" t="n">
        <f aca="false">IF(AND(OR($F443="Analogy",$F443="Assumed",$F443="Derived（待改公式）",$F443="Derived（公式）"),OR($N443="—",$N443="",$N443=0)),1,0)</f>
        <v>0</v>
      </c>
      <c r="Z443" s="186" t="n">
        <f aca="false">IF(AND($F443="Decision",OR($J443="—",$J443="")),1,0)</f>
        <v>0</v>
      </c>
      <c r="AA443" s="183" t="n">
        <f aca="false">IF(OR($J443="—",$J443=""),0,IF(COUNTIF(Decisions!$A$5:$A$300,$J443)=0,1,0))</f>
        <v>0</v>
      </c>
      <c r="AB443" s="186" t="n">
        <f aca="false">IF(AND($F443="原始數據",$S443&lt;&gt;"Active"),1,0)</f>
        <v>0</v>
      </c>
      <c r="AC443" s="186" t="n">
        <f aca="false">IF(AND(ISNUMBER($K443),ISNUMBER($L443),ISNUMBER($Q443)),IF(OR($Q443&lt;MIN($K443,$L443),$Q443&gt;MAX($K443,$L443)),1,0),0)</f>
        <v>0</v>
      </c>
      <c r="AD443" s="186" t="n">
        <f aca="false">IF(AND(ISNUMBER($T443),$P443="高"),IF($T443=3,1,0),0)</f>
        <v>0</v>
      </c>
      <c r="AE443" s="186" t="n">
        <f aca="false">IF($S443="不存在",1,0)</f>
        <v>0</v>
      </c>
      <c r="AF443" s="35" t="str">
        <f aca="false">IF(OR($H443="—",$H443=""),"—",MATCH($H443,IDX_SrcID,0))</f>
        <v>—</v>
      </c>
      <c r="AG443" s="104" t="n">
        <f aca="false">IF(AND($P443="高",OR($AD443=1,$X443=1)),1,0)</f>
        <v>0</v>
      </c>
      <c r="AH443" s="104" t="n">
        <f aca="false">IF(AND($P443="高",$AG443=0,OR($F443&lt;&gt;"原始數據",$T443&lt;&gt;1)),1,0)</f>
        <v>0</v>
      </c>
      <c r="AI443" s="53" t="str">
        <f aca="false">IF(AND($P443="高",ISNUMBER($AF443)),INDEX(IDX_SrcDate,$AF443),"—")</f>
        <v>—</v>
      </c>
      <c r="AJ443" s="104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6" t="s">
        <v>4239</v>
      </c>
      <c r="B444" s="215" t="s">
        <v>4225</v>
      </c>
      <c r="C444" s="36" t="s">
        <v>24</v>
      </c>
      <c r="D444" s="36" t="s">
        <v>4240</v>
      </c>
      <c r="E444" s="19" t="s">
        <v>4241</v>
      </c>
      <c r="F444" s="36" t="s">
        <v>72</v>
      </c>
      <c r="G444" s="215" t="s">
        <v>3185</v>
      </c>
      <c r="H444" s="36" t="s">
        <v>587</v>
      </c>
      <c r="I444" s="6" t="s">
        <v>587</v>
      </c>
      <c r="J444" s="36" t="s">
        <v>4217</v>
      </c>
      <c r="K444" s="215"/>
      <c r="L444" s="215"/>
      <c r="M444" s="36" t="s">
        <v>587</v>
      </c>
      <c r="N444" s="6" t="s">
        <v>4242</v>
      </c>
      <c r="O444" s="6" t="s">
        <v>587</v>
      </c>
      <c r="P444" s="215" t="s">
        <v>3188</v>
      </c>
      <c r="Q444" s="183" t="n">
        <f aca="false">Tech_Registry!J17</f>
        <v>2</v>
      </c>
      <c r="R444" s="36" t="s">
        <v>587</v>
      </c>
      <c r="S444" s="35" t="str">
        <f aca="false">IF(ISNUMBER($AF444),INDEX(IDX_SrcStat,$AF444),"—")</f>
        <v>—</v>
      </c>
      <c r="T444" s="35" t="str">
        <f aca="false">IF(ISNUMBER($AF444),INDEX(IDX_SrcGrade,$AF444),"—")</f>
        <v>—</v>
      </c>
      <c r="U444" s="35" t="s">
        <v>3189</v>
      </c>
      <c r="V444" s="186" t="n">
        <f aca="false">IF(AND($F444="原始數據",$U444&lt;&gt;"連結 SRC"),1,0)</f>
        <v>0</v>
      </c>
      <c r="W444" s="186" t="n">
        <f aca="false">IF(AND($F444="Analogy",OR($H444="—",$H444="")),1,0)</f>
        <v>0</v>
      </c>
      <c r="X444" s="186" t="n">
        <f aca="false">IF(AND(OR($F444="Analogy",$F444="Assumed"),$G444&lt;&gt;"低",$G444&lt;&gt;"高",NOT(ISNUMBER($K444)),NOT(ISNUMBER($L444)),OR($M444="—",$M444="")),1,0)</f>
        <v>0</v>
      </c>
      <c r="Y444" s="186" t="n">
        <f aca="false">IF(AND(OR($F444="Analogy",$F444="Assumed",$F444="Derived（待改公式）",$F444="Derived（公式）"),OR($N444="—",$N444="",$N444=0)),1,0)</f>
        <v>0</v>
      </c>
      <c r="Z444" s="186" t="n">
        <f aca="false">IF(AND($F444="Decision",OR($J444="—",$J444="")),1,0)</f>
        <v>0</v>
      </c>
      <c r="AA444" s="183" t="n">
        <f aca="false">IF(OR($J444="—",$J444=""),0,IF(COUNTIF(Decisions!$A$5:$A$300,$J444)=0,1,0))</f>
        <v>0</v>
      </c>
      <c r="AB444" s="186" t="n">
        <f aca="false">IF(AND($F444="原始數據",$S444&lt;&gt;"Active"),1,0)</f>
        <v>0</v>
      </c>
      <c r="AC444" s="186" t="n">
        <f aca="false">IF(AND(ISNUMBER($K444),ISNUMBER($L444),ISNUMBER($Q444)),IF(OR($Q444&lt;MIN($K444,$L444),$Q444&gt;MAX($K444,$L444)),1,0),0)</f>
        <v>0</v>
      </c>
      <c r="AD444" s="186" t="n">
        <f aca="false">IF(AND(ISNUMBER($T444),$P444="高"),IF($T444=3,1,0),0)</f>
        <v>0</v>
      </c>
      <c r="AE444" s="186" t="n">
        <f aca="false">IF($S444="不存在",1,0)</f>
        <v>0</v>
      </c>
      <c r="AF444" s="35" t="str">
        <f aca="false">IF(OR($H444="—",$H444=""),"—",MATCH($H444,IDX_SrcID,0))</f>
        <v>—</v>
      </c>
      <c r="AG444" s="104" t="n">
        <f aca="false">IF(AND($P444="高",OR($AD444=1,$X444=1)),1,0)</f>
        <v>0</v>
      </c>
      <c r="AH444" s="104" t="n">
        <f aca="false">IF(AND($P444="高",$AG444=0,OR($F444&lt;&gt;"原始數據",$T444&lt;&gt;1)),1,0)</f>
        <v>0</v>
      </c>
      <c r="AI444" s="53" t="str">
        <f aca="false">IF(AND($P444="高",ISNUMBER($AF444)),INDEX(IDX_SrcDate,$AF444),"—")</f>
        <v>—</v>
      </c>
      <c r="AJ444" s="104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6" t="s">
        <v>4243</v>
      </c>
      <c r="B445" s="215" t="s">
        <v>4244</v>
      </c>
      <c r="C445" s="36" t="s">
        <v>4245</v>
      </c>
      <c r="D445" s="36" t="s">
        <v>3420</v>
      </c>
      <c r="E445" s="19" t="s">
        <v>4246</v>
      </c>
      <c r="F445" s="36" t="s">
        <v>80</v>
      </c>
      <c r="G445" s="215" t="s">
        <v>65</v>
      </c>
      <c r="H445" s="36" t="s">
        <v>587</v>
      </c>
      <c r="I445" s="6" t="s">
        <v>587</v>
      </c>
      <c r="J445" s="36" t="s">
        <v>587</v>
      </c>
      <c r="K445" s="177" t="n">
        <f aca="false">Cap_In!D12</f>
        <v>0.1</v>
      </c>
      <c r="L445" s="177" t="n">
        <f aca="false">Cap_In!E12</f>
        <v>0.3</v>
      </c>
      <c r="M445" s="36" t="s">
        <v>587</v>
      </c>
      <c r="N445" s="19" t="s">
        <v>4247</v>
      </c>
      <c r="O445" s="6" t="s">
        <v>587</v>
      </c>
      <c r="P445" s="215" t="s">
        <v>3244</v>
      </c>
      <c r="Q445" s="177" t="n">
        <f aca="false">Cap_In!C12</f>
        <v>0.2</v>
      </c>
      <c r="R445" s="36" t="s">
        <v>587</v>
      </c>
      <c r="S445" s="35" t="str">
        <f aca="false">IF(ISNUMBER($AF445),INDEX(IDX_SrcStat,$AF445),"—")</f>
        <v>—</v>
      </c>
      <c r="T445" s="35" t="str">
        <f aca="false">IF(ISNUMBER($AF445),INDEX(IDX_SrcGrade,$AF445),"—")</f>
        <v>—</v>
      </c>
      <c r="U445" s="35" t="s">
        <v>3189</v>
      </c>
      <c r="V445" s="186" t="n">
        <f aca="false">IF(AND($F445="原始數據",$U445&lt;&gt;"連結 SRC"),1,0)</f>
        <v>0</v>
      </c>
      <c r="W445" s="186" t="n">
        <f aca="false">IF(AND($F445="Analogy",OR($H445="—",$H445="")),1,0)</f>
        <v>0</v>
      </c>
      <c r="X445" s="186" t="n">
        <f aca="false">IF(AND(OR($F445="Analogy",$F445="Assumed"),$G445&lt;&gt;"低",$G445&lt;&gt;"高",NOT(ISNUMBER($K445)),NOT(ISNUMBER($L445)),OR($M445="—",$M445="")),1,0)</f>
        <v>0</v>
      </c>
      <c r="Y445" s="186" t="n">
        <f aca="false">IF(AND(OR($F445="Analogy",$F445="Assumed",$F445="Derived（待改公式）",$F445="Derived（公式）"),OR($N445="—",$N445="",$N445=0)),1,0)</f>
        <v>0</v>
      </c>
      <c r="Z445" s="186" t="n">
        <f aca="false">IF(AND($F445="Decision",OR($J445="—",$J445="")),1,0)</f>
        <v>0</v>
      </c>
      <c r="AA445" s="183" t="n">
        <f aca="false">IF(OR($J445="—",$J445=""),0,IF(COUNTIF(Decisions!$A$5:$A$300,$J445)=0,1,0))</f>
        <v>0</v>
      </c>
      <c r="AB445" s="186" t="n">
        <f aca="false">IF(AND($F445="原始數據",$S445&lt;&gt;"Active"),1,0)</f>
        <v>0</v>
      </c>
      <c r="AC445" s="186" t="n">
        <f aca="false">IF(AND(ISNUMBER($K445),ISNUMBER($L445),ISNUMBER($Q445)),IF(OR($Q445&lt;MIN($K445,$L445),$Q445&gt;MAX($K445,$L445)),1,0),0)</f>
        <v>0</v>
      </c>
      <c r="AD445" s="186" t="n">
        <f aca="false">IF(AND(ISNUMBER($T445),$P445="高"),IF($T445=3,1,0),0)</f>
        <v>0</v>
      </c>
      <c r="AE445" s="186" t="n">
        <f aca="false">IF($S445="不存在",1,0)</f>
        <v>0</v>
      </c>
      <c r="AF445" s="35" t="str">
        <f aca="false">IF(OR($H445="—",$H445=""),"—",MATCH($H445,IDX_SrcID,0))</f>
        <v>—</v>
      </c>
      <c r="AG445" s="104" t="n">
        <f aca="false">IF(AND($P445="高",OR($AD445=1,$X445=1)),1,0)</f>
        <v>0</v>
      </c>
      <c r="AH445" s="104" t="n">
        <f aca="false">IF(AND($P445="高",$AG445=0,OR($F445&lt;&gt;"原始數據",$T445&lt;&gt;1)),1,0)</f>
        <v>0</v>
      </c>
      <c r="AI445" s="53" t="str">
        <f aca="false">IF(AND($P445="高",ISNUMBER($AF445)),INDEX(IDX_SrcDate,$AF445),"—")</f>
        <v>—</v>
      </c>
      <c r="AJ445" s="104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6" t="s">
        <v>4248</v>
      </c>
      <c r="B446" s="215" t="s">
        <v>4244</v>
      </c>
      <c r="C446" s="36" t="s">
        <v>4245</v>
      </c>
      <c r="D446" s="36" t="s">
        <v>4249</v>
      </c>
      <c r="E446" s="19" t="s">
        <v>4246</v>
      </c>
      <c r="F446" s="36" t="s">
        <v>80</v>
      </c>
      <c r="G446" s="215" t="s">
        <v>4250</v>
      </c>
      <c r="H446" s="36" t="s">
        <v>587</v>
      </c>
      <c r="I446" s="6" t="s">
        <v>587</v>
      </c>
      <c r="J446" s="36" t="s">
        <v>587</v>
      </c>
      <c r="K446" s="215"/>
      <c r="L446" s="215"/>
      <c r="M446" s="36" t="s">
        <v>4251</v>
      </c>
      <c r="N446" s="19" t="s">
        <v>4247</v>
      </c>
      <c r="O446" s="6" t="s">
        <v>587</v>
      </c>
      <c r="P446" s="215" t="s">
        <v>3244</v>
      </c>
      <c r="Q446" s="185" t="s">
        <v>587</v>
      </c>
      <c r="R446" s="36" t="s">
        <v>587</v>
      </c>
      <c r="S446" s="35" t="str">
        <f aca="false">IF(ISNUMBER($AF446),INDEX(IDX_SrcStat,$AF446),"—")</f>
        <v>—</v>
      </c>
      <c r="T446" s="35" t="str">
        <f aca="false">IF(ISNUMBER($AF446),INDEX(IDX_SrcGrade,$AF446),"—")</f>
        <v>—</v>
      </c>
      <c r="U446" s="36" t="s">
        <v>587</v>
      </c>
      <c r="V446" s="186" t="n">
        <f aca="false">IF(AND($F446="原始數據",$U446&lt;&gt;"連結 SRC"),1,0)</f>
        <v>0</v>
      </c>
      <c r="W446" s="186" t="n">
        <f aca="false">IF(AND($F446="Analogy",OR($H446="—",$H446="")),1,0)</f>
        <v>0</v>
      </c>
      <c r="X446" s="186" t="n">
        <f aca="false">IF(AND(OR($F446="Analogy",$F446="Assumed"),$G446&lt;&gt;"低",$G446&lt;&gt;"高",NOT(ISNUMBER($K446)),NOT(ISNUMBER($L446)),OR($M446="—",$M446="")),1,0)</f>
        <v>0</v>
      </c>
      <c r="Y446" s="186" t="n">
        <f aca="false">IF(AND(OR($F446="Analogy",$F446="Assumed",$F446="Derived（待改公式）",$F446="Derived（公式）"),OR($N446="—",$N446="",$N446=0)),1,0)</f>
        <v>0</v>
      </c>
      <c r="Z446" s="186" t="n">
        <f aca="false">IF(AND($F446="Decision",OR($J446="—",$J446="")),1,0)</f>
        <v>0</v>
      </c>
      <c r="AA446" s="183" t="n">
        <f aca="false">IF(OR($J446="—",$J446=""),0,IF(COUNTIF(Decisions!$A$5:$A$300,$J446)=0,1,0))</f>
        <v>0</v>
      </c>
      <c r="AB446" s="186" t="n">
        <f aca="false">IF(AND($F446="原始數據",$S446&lt;&gt;"Active"),1,0)</f>
        <v>0</v>
      </c>
      <c r="AC446" s="186" t="n">
        <f aca="false">IF(AND(ISNUMBER($K446),ISNUMBER($L446),ISNUMBER($Q446)),IF(OR($Q446&lt;MIN($K446,$L446),$Q446&gt;MAX($K446,$L446)),1,0),0)</f>
        <v>0</v>
      </c>
      <c r="AD446" s="186" t="n">
        <f aca="false">IF(AND(ISNUMBER($T446),$P446="高"),IF($T446=3,1,0),0)</f>
        <v>0</v>
      </c>
      <c r="AE446" s="186" t="n">
        <f aca="false">IF($S446="不存在",1,0)</f>
        <v>0</v>
      </c>
      <c r="AF446" s="35" t="str">
        <f aca="false">IF(OR($H446="—",$H446=""),"—",MATCH($H446,IDX_SrcID,0))</f>
        <v>—</v>
      </c>
      <c r="AG446" s="104" t="n">
        <f aca="false">IF(AND($P446="高",OR($AD446=1,$X446=1)),1,0)</f>
        <v>0</v>
      </c>
      <c r="AH446" s="104" t="n">
        <f aca="false">IF(AND($P446="高",$AG446=0,OR($F446&lt;&gt;"原始數據",$T446&lt;&gt;1)),1,0)</f>
        <v>0</v>
      </c>
      <c r="AI446" s="53" t="str">
        <f aca="false">IF(AND($P446="高",ISNUMBER($AF446)),INDEX(IDX_SrcDate,$AF446),"—")</f>
        <v>—</v>
      </c>
      <c r="AJ446" s="104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6" t="s">
        <v>4252</v>
      </c>
      <c r="B447" s="215" t="s">
        <v>4244</v>
      </c>
      <c r="C447" s="36" t="s">
        <v>4245</v>
      </c>
      <c r="D447" s="36" t="s">
        <v>3438</v>
      </c>
      <c r="E447" s="19" t="s">
        <v>4253</v>
      </c>
      <c r="F447" s="36" t="s">
        <v>80</v>
      </c>
      <c r="G447" s="215" t="s">
        <v>65</v>
      </c>
      <c r="H447" s="36" t="s">
        <v>587</v>
      </c>
      <c r="I447" s="6" t="s">
        <v>587</v>
      </c>
      <c r="J447" s="36" t="s">
        <v>587</v>
      </c>
      <c r="K447" s="177" t="n">
        <f aca="false">Cap_In!D13</f>
        <v>0.3</v>
      </c>
      <c r="L447" s="177" t="n">
        <f aca="false">Cap_In!E13</f>
        <v>0.75</v>
      </c>
      <c r="M447" s="36" t="s">
        <v>587</v>
      </c>
      <c r="N447" s="19" t="s">
        <v>4254</v>
      </c>
      <c r="O447" s="6" t="s">
        <v>587</v>
      </c>
      <c r="P447" s="215" t="s">
        <v>3244</v>
      </c>
      <c r="Q447" s="177" t="n">
        <f aca="false">Cap_In!C13</f>
        <v>0.55</v>
      </c>
      <c r="R447" s="36" t="s">
        <v>587</v>
      </c>
      <c r="S447" s="35" t="str">
        <f aca="false">IF(ISNUMBER($AF447),INDEX(IDX_SrcStat,$AF447),"—")</f>
        <v>—</v>
      </c>
      <c r="T447" s="35" t="str">
        <f aca="false">IF(ISNUMBER($AF447),INDEX(IDX_SrcGrade,$AF447),"—")</f>
        <v>—</v>
      </c>
      <c r="U447" s="35" t="s">
        <v>3189</v>
      </c>
      <c r="V447" s="186" t="n">
        <f aca="false">IF(AND($F447="原始數據",$U447&lt;&gt;"連結 SRC"),1,0)</f>
        <v>0</v>
      </c>
      <c r="W447" s="186" t="n">
        <f aca="false">IF(AND($F447="Analogy",OR($H447="—",$H447="")),1,0)</f>
        <v>0</v>
      </c>
      <c r="X447" s="186" t="n">
        <f aca="false">IF(AND(OR($F447="Analogy",$F447="Assumed"),$G447&lt;&gt;"低",$G447&lt;&gt;"高",NOT(ISNUMBER($K447)),NOT(ISNUMBER($L447)),OR($M447="—",$M447="")),1,0)</f>
        <v>0</v>
      </c>
      <c r="Y447" s="186" t="n">
        <f aca="false">IF(AND(OR($F447="Analogy",$F447="Assumed",$F447="Derived（待改公式）",$F447="Derived（公式）"),OR($N447="—",$N447="",$N447=0)),1,0)</f>
        <v>0</v>
      </c>
      <c r="Z447" s="186" t="n">
        <f aca="false">IF(AND($F447="Decision",OR($J447="—",$J447="")),1,0)</f>
        <v>0</v>
      </c>
      <c r="AA447" s="183" t="n">
        <f aca="false">IF(OR($J447="—",$J447=""),0,IF(COUNTIF(Decisions!$A$5:$A$300,$J447)=0,1,0))</f>
        <v>0</v>
      </c>
      <c r="AB447" s="186" t="n">
        <f aca="false">IF(AND($F447="原始數據",$S447&lt;&gt;"Active"),1,0)</f>
        <v>0</v>
      </c>
      <c r="AC447" s="186" t="n">
        <f aca="false">IF(AND(ISNUMBER($K447),ISNUMBER($L447),ISNUMBER($Q447)),IF(OR($Q447&lt;MIN($K447,$L447),$Q447&gt;MAX($K447,$L447)),1,0),0)</f>
        <v>0</v>
      </c>
      <c r="AD447" s="186" t="n">
        <f aca="false">IF(AND(ISNUMBER($T447),$P447="高"),IF($T447=3,1,0),0)</f>
        <v>0</v>
      </c>
      <c r="AE447" s="186" t="n">
        <f aca="false">IF($S447="不存在",1,0)</f>
        <v>0</v>
      </c>
      <c r="AF447" s="35" t="str">
        <f aca="false">IF(OR($H447="—",$H447=""),"—",MATCH($H447,IDX_SrcID,0))</f>
        <v>—</v>
      </c>
      <c r="AG447" s="104" t="n">
        <f aca="false">IF(AND($P447="高",OR($AD447=1,$X447=1)),1,0)</f>
        <v>0</v>
      </c>
      <c r="AH447" s="104" t="n">
        <f aca="false">IF(AND($P447="高",$AG447=0,OR($F447&lt;&gt;"原始數據",$T447&lt;&gt;1)),1,0)</f>
        <v>0</v>
      </c>
      <c r="AI447" s="53" t="str">
        <f aca="false">IF(AND($P447="高",ISNUMBER($AF447)),INDEX(IDX_SrcDate,$AF447),"—")</f>
        <v>—</v>
      </c>
      <c r="AJ447" s="104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6" t="s">
        <v>4255</v>
      </c>
      <c r="B448" s="215" t="s">
        <v>4244</v>
      </c>
      <c r="C448" s="36" t="s">
        <v>4245</v>
      </c>
      <c r="D448" s="36" t="s">
        <v>4256</v>
      </c>
      <c r="E448" s="19" t="s">
        <v>4253</v>
      </c>
      <c r="F448" s="36" t="s">
        <v>80</v>
      </c>
      <c r="G448" s="215" t="s">
        <v>4250</v>
      </c>
      <c r="H448" s="36" t="s">
        <v>587</v>
      </c>
      <c r="I448" s="6" t="s">
        <v>587</v>
      </c>
      <c r="J448" s="36" t="s">
        <v>587</v>
      </c>
      <c r="K448" s="215"/>
      <c r="L448" s="215"/>
      <c r="M448" s="36" t="s">
        <v>4257</v>
      </c>
      <c r="N448" s="19" t="s">
        <v>4254</v>
      </c>
      <c r="O448" s="6" t="s">
        <v>587</v>
      </c>
      <c r="P448" s="215" t="s">
        <v>3244</v>
      </c>
      <c r="Q448" s="185" t="s">
        <v>587</v>
      </c>
      <c r="R448" s="36" t="s">
        <v>587</v>
      </c>
      <c r="S448" s="35" t="str">
        <f aca="false">IF(ISNUMBER($AF448),INDEX(IDX_SrcStat,$AF448),"—")</f>
        <v>—</v>
      </c>
      <c r="T448" s="35" t="str">
        <f aca="false">IF(ISNUMBER($AF448),INDEX(IDX_SrcGrade,$AF448),"—")</f>
        <v>—</v>
      </c>
      <c r="U448" s="36" t="s">
        <v>587</v>
      </c>
      <c r="V448" s="186" t="n">
        <f aca="false">IF(AND($F448="原始數據",$U448&lt;&gt;"連結 SRC"),1,0)</f>
        <v>0</v>
      </c>
      <c r="W448" s="186" t="n">
        <f aca="false">IF(AND($F448="Analogy",OR($H448="—",$H448="")),1,0)</f>
        <v>0</v>
      </c>
      <c r="X448" s="186" t="n">
        <f aca="false">IF(AND(OR($F448="Analogy",$F448="Assumed"),$G448&lt;&gt;"低",$G448&lt;&gt;"高",NOT(ISNUMBER($K448)),NOT(ISNUMBER($L448)),OR($M448="—",$M448="")),1,0)</f>
        <v>0</v>
      </c>
      <c r="Y448" s="186" t="n">
        <f aca="false">IF(AND(OR($F448="Analogy",$F448="Assumed",$F448="Derived（待改公式）",$F448="Derived（公式）"),OR($N448="—",$N448="",$N448=0)),1,0)</f>
        <v>0</v>
      </c>
      <c r="Z448" s="186" t="n">
        <f aca="false">IF(AND($F448="Decision",OR($J448="—",$J448="")),1,0)</f>
        <v>0</v>
      </c>
      <c r="AA448" s="183" t="n">
        <f aca="false">IF(OR($J448="—",$J448=""),0,IF(COUNTIF(Decisions!$A$5:$A$300,$J448)=0,1,0))</f>
        <v>0</v>
      </c>
      <c r="AB448" s="186" t="n">
        <f aca="false">IF(AND($F448="原始數據",$S448&lt;&gt;"Active"),1,0)</f>
        <v>0</v>
      </c>
      <c r="AC448" s="186" t="n">
        <f aca="false">IF(AND(ISNUMBER($K448),ISNUMBER($L448),ISNUMBER($Q448)),IF(OR($Q448&lt;MIN($K448,$L448),$Q448&gt;MAX($K448,$L448)),1,0),0)</f>
        <v>0</v>
      </c>
      <c r="AD448" s="186" t="n">
        <f aca="false">IF(AND(ISNUMBER($T448),$P448="高"),IF($T448=3,1,0),0)</f>
        <v>0</v>
      </c>
      <c r="AE448" s="186" t="n">
        <f aca="false">IF($S448="不存在",1,0)</f>
        <v>0</v>
      </c>
      <c r="AF448" s="35" t="str">
        <f aca="false">IF(OR($H448="—",$H448=""),"—",MATCH($H448,IDX_SrcID,0))</f>
        <v>—</v>
      </c>
      <c r="AG448" s="104" t="n">
        <f aca="false">IF(AND($P448="高",OR($AD448=1,$X448=1)),1,0)</f>
        <v>0</v>
      </c>
      <c r="AH448" s="104" t="n">
        <f aca="false">IF(AND($P448="高",$AG448=0,OR($F448&lt;&gt;"原始數據",$T448&lt;&gt;1)),1,0)</f>
        <v>0</v>
      </c>
      <c r="AI448" s="53" t="str">
        <f aca="false">IF(AND($P448="高",ISNUMBER($AF448)),INDEX(IDX_SrcDate,$AF448),"—")</f>
        <v>—</v>
      </c>
      <c r="AJ448" s="104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6" t="s">
        <v>4258</v>
      </c>
      <c r="B449" s="215" t="s">
        <v>4244</v>
      </c>
      <c r="C449" s="36" t="s">
        <v>4245</v>
      </c>
      <c r="D449" s="36" t="s">
        <v>3687</v>
      </c>
      <c r="E449" s="19" t="s">
        <v>4259</v>
      </c>
      <c r="F449" s="36" t="s">
        <v>72</v>
      </c>
      <c r="G449" s="215" t="s">
        <v>65</v>
      </c>
      <c r="H449" s="36" t="s">
        <v>587</v>
      </c>
      <c r="I449" s="6" t="s">
        <v>587</v>
      </c>
      <c r="J449" s="36" t="s">
        <v>3141</v>
      </c>
      <c r="K449" s="175" t="n">
        <f aca="false">Cap_In!D14</f>
        <v>0</v>
      </c>
      <c r="L449" s="175" t="n">
        <f aca="false">Cap_In!E14</f>
        <v>0.5</v>
      </c>
      <c r="M449" s="36" t="s">
        <v>587</v>
      </c>
      <c r="N449" s="6" t="s">
        <v>4260</v>
      </c>
      <c r="O449" s="6" t="s">
        <v>587</v>
      </c>
      <c r="P449" s="215" t="s">
        <v>3188</v>
      </c>
      <c r="Q449" s="175" t="n">
        <f aca="false">Cap_In!C14</f>
        <v>0</v>
      </c>
      <c r="R449" s="36" t="s">
        <v>587</v>
      </c>
      <c r="S449" s="35" t="str">
        <f aca="false">IF(ISNUMBER($AF449),INDEX(IDX_SrcStat,$AF449),"—")</f>
        <v>—</v>
      </c>
      <c r="T449" s="35" t="str">
        <f aca="false">IF(ISNUMBER($AF449),INDEX(IDX_SrcGrade,$AF449),"—")</f>
        <v>—</v>
      </c>
      <c r="U449" s="35" t="s">
        <v>3189</v>
      </c>
      <c r="V449" s="186" t="n">
        <f aca="false">IF(AND($F449="原始數據",$U449&lt;&gt;"連結 SRC"),1,0)</f>
        <v>0</v>
      </c>
      <c r="W449" s="186" t="n">
        <f aca="false">IF(AND($F449="Analogy",OR($H449="—",$H449="")),1,0)</f>
        <v>0</v>
      </c>
      <c r="X449" s="186" t="n">
        <f aca="false">IF(AND(OR($F449="Analogy",$F449="Assumed"),$G449&lt;&gt;"低",$G449&lt;&gt;"高",NOT(ISNUMBER($K449)),NOT(ISNUMBER($L449)),OR($M449="—",$M449="")),1,0)</f>
        <v>0</v>
      </c>
      <c r="Y449" s="186" t="n">
        <f aca="false">IF(AND(OR($F449="Analogy",$F449="Assumed",$F449="Derived（待改公式）",$F449="Derived（公式）"),OR($N449="—",$N449="",$N449=0)),1,0)</f>
        <v>0</v>
      </c>
      <c r="Z449" s="186" t="n">
        <f aca="false">IF(AND($F449="Decision",OR($J449="—",$J449="")),1,0)</f>
        <v>0</v>
      </c>
      <c r="AA449" s="183" t="n">
        <f aca="false">IF(OR($J449="—",$J449=""),0,IF(COUNTIF(Decisions!$A$5:$A$300,$J449)=0,1,0))</f>
        <v>0</v>
      </c>
      <c r="AB449" s="186" t="n">
        <f aca="false">IF(AND($F449="原始數據",$S449&lt;&gt;"Active"),1,0)</f>
        <v>0</v>
      </c>
      <c r="AC449" s="186" t="n">
        <f aca="false">IF(AND(ISNUMBER($K449),ISNUMBER($L449),ISNUMBER($Q449)),IF(OR($Q449&lt;MIN($K449,$L449),$Q449&gt;MAX($K449,$L449)),1,0),0)</f>
        <v>0</v>
      </c>
      <c r="AD449" s="186" t="n">
        <f aca="false">IF(AND(ISNUMBER($T449),$P449="高"),IF($T449=3,1,0),0)</f>
        <v>0</v>
      </c>
      <c r="AE449" s="186" t="n">
        <f aca="false">IF($S449="不存在",1,0)</f>
        <v>0</v>
      </c>
      <c r="AF449" s="35" t="str">
        <f aca="false">IF(OR($H449="—",$H449=""),"—",MATCH($H449,IDX_SrcID,0))</f>
        <v>—</v>
      </c>
      <c r="AG449" s="104" t="n">
        <f aca="false">IF(AND($P449="高",OR($AD449=1,$X449=1)),1,0)</f>
        <v>0</v>
      </c>
      <c r="AH449" s="104" t="n">
        <f aca="false">IF(AND($P449="高",$AG449=0,OR($F449&lt;&gt;"原始數據",$T449&lt;&gt;1)),1,0)</f>
        <v>0</v>
      </c>
      <c r="AI449" s="53" t="str">
        <f aca="false">IF(AND($P449="高",ISNUMBER($AF449)),INDEX(IDX_SrcDate,$AF449),"—")</f>
        <v>—</v>
      </c>
      <c r="AJ449" s="104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6" t="s">
        <v>4261</v>
      </c>
      <c r="B450" s="215" t="s">
        <v>4244</v>
      </c>
      <c r="C450" s="36" t="s">
        <v>4245</v>
      </c>
      <c r="D450" s="36" t="s">
        <v>4262</v>
      </c>
      <c r="E450" s="19" t="s">
        <v>4259</v>
      </c>
      <c r="F450" s="36" t="s">
        <v>72</v>
      </c>
      <c r="G450" s="215" t="s">
        <v>4250</v>
      </c>
      <c r="H450" s="36" t="s">
        <v>587</v>
      </c>
      <c r="I450" s="6" t="s">
        <v>587</v>
      </c>
      <c r="J450" s="36" t="s">
        <v>3141</v>
      </c>
      <c r="K450" s="215"/>
      <c r="L450" s="215"/>
      <c r="M450" s="36" t="s">
        <v>4263</v>
      </c>
      <c r="N450" s="6" t="s">
        <v>4260</v>
      </c>
      <c r="O450" s="6" t="s">
        <v>587</v>
      </c>
      <c r="P450" s="215" t="s">
        <v>3188</v>
      </c>
      <c r="Q450" s="185" t="s">
        <v>587</v>
      </c>
      <c r="R450" s="36" t="s">
        <v>587</v>
      </c>
      <c r="S450" s="35" t="str">
        <f aca="false">IF(ISNUMBER($AF450),INDEX(IDX_SrcStat,$AF450),"—")</f>
        <v>—</v>
      </c>
      <c r="T450" s="35" t="str">
        <f aca="false">IF(ISNUMBER($AF450),INDEX(IDX_SrcGrade,$AF450),"—")</f>
        <v>—</v>
      </c>
      <c r="U450" s="36" t="s">
        <v>587</v>
      </c>
      <c r="V450" s="186" t="n">
        <f aca="false">IF(AND($F450="原始數據",$U450&lt;&gt;"連結 SRC"),1,0)</f>
        <v>0</v>
      </c>
      <c r="W450" s="186" t="n">
        <f aca="false">IF(AND($F450="Analogy",OR($H450="—",$H450="")),1,0)</f>
        <v>0</v>
      </c>
      <c r="X450" s="186" t="n">
        <f aca="false">IF(AND(OR($F450="Analogy",$F450="Assumed"),$G450&lt;&gt;"低",$G450&lt;&gt;"高",NOT(ISNUMBER($K450)),NOT(ISNUMBER($L450)),OR($M450="—",$M450="")),1,0)</f>
        <v>0</v>
      </c>
      <c r="Y450" s="186" t="n">
        <f aca="false">IF(AND(OR($F450="Analogy",$F450="Assumed",$F450="Derived（待改公式）",$F450="Derived（公式）"),OR($N450="—",$N450="",$N450=0)),1,0)</f>
        <v>0</v>
      </c>
      <c r="Z450" s="186" t="n">
        <f aca="false">IF(AND($F450="Decision",OR($J450="—",$J450="")),1,0)</f>
        <v>0</v>
      </c>
      <c r="AA450" s="183" t="n">
        <f aca="false">IF(OR($J450="—",$J450=""),0,IF(COUNTIF(Decisions!$A$5:$A$300,$J450)=0,1,0))</f>
        <v>0</v>
      </c>
      <c r="AB450" s="186" t="n">
        <f aca="false">IF(AND($F450="原始數據",$S450&lt;&gt;"Active"),1,0)</f>
        <v>0</v>
      </c>
      <c r="AC450" s="186" t="n">
        <f aca="false">IF(AND(ISNUMBER($K450),ISNUMBER($L450),ISNUMBER($Q450)),IF(OR($Q450&lt;MIN($K450,$L450),$Q450&gt;MAX($K450,$L450)),1,0),0)</f>
        <v>0</v>
      </c>
      <c r="AD450" s="186" t="n">
        <f aca="false">IF(AND(ISNUMBER($T450),$P450="高"),IF($T450=3,1,0),0)</f>
        <v>0</v>
      </c>
      <c r="AE450" s="186" t="n">
        <f aca="false">IF($S450="不存在",1,0)</f>
        <v>0</v>
      </c>
      <c r="AF450" s="35" t="str">
        <f aca="false">IF(OR($H450="—",$H450=""),"—",MATCH($H450,IDX_SrcID,0))</f>
        <v>—</v>
      </c>
      <c r="AG450" s="104" t="n">
        <f aca="false">IF(AND($P450="高",OR($AD450=1,$X450=1)),1,0)</f>
        <v>0</v>
      </c>
      <c r="AH450" s="104" t="n">
        <f aca="false">IF(AND($P450="高",$AG450=0,OR($F450&lt;&gt;"原始數據",$T450&lt;&gt;1)),1,0)</f>
        <v>0</v>
      </c>
      <c r="AI450" s="53" t="str">
        <f aca="false">IF(AND($P450="高",ISNUMBER($AF450)),INDEX(IDX_SrcDate,$AF450),"—")</f>
        <v>—</v>
      </c>
      <c r="AJ450" s="104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6" t="s">
        <v>4264</v>
      </c>
      <c r="B451" s="215" t="s">
        <v>4244</v>
      </c>
      <c r="C451" s="36" t="s">
        <v>4245</v>
      </c>
      <c r="D451" s="36" t="s">
        <v>3691</v>
      </c>
      <c r="E451" s="19" t="s">
        <v>4265</v>
      </c>
      <c r="F451" s="215" t="s">
        <v>348</v>
      </c>
      <c r="G451" s="215" t="s">
        <v>65</v>
      </c>
      <c r="H451" s="36" t="s">
        <v>587</v>
      </c>
      <c r="I451" s="6" t="s">
        <v>587</v>
      </c>
      <c r="J451" s="36" t="s">
        <v>587</v>
      </c>
      <c r="K451" s="175" t="n">
        <f aca="false">Cap_In!D15</f>
        <v>0.5</v>
      </c>
      <c r="L451" s="175" t="n">
        <f aca="false">Cap_In!E15</f>
        <v>7</v>
      </c>
      <c r="M451" s="36" t="s">
        <v>587</v>
      </c>
      <c r="N451" s="19" t="s">
        <v>4266</v>
      </c>
      <c r="O451" s="6" t="s">
        <v>587</v>
      </c>
      <c r="P451" s="215" t="s">
        <v>3188</v>
      </c>
      <c r="Q451" s="175" t="n">
        <f aca="false">Cap_In!C15</f>
        <v>1</v>
      </c>
      <c r="R451" s="36" t="s">
        <v>587</v>
      </c>
      <c r="S451" s="35" t="str">
        <f aca="false">IF(ISNUMBER($AF451),INDEX(IDX_SrcStat,$AF451),"—")</f>
        <v>—</v>
      </c>
      <c r="T451" s="35" t="str">
        <f aca="false">IF(ISNUMBER($AF451),INDEX(IDX_SrcGrade,$AF451),"—")</f>
        <v>—</v>
      </c>
      <c r="U451" s="35" t="s">
        <v>3189</v>
      </c>
      <c r="V451" s="186" t="n">
        <f aca="false">IF(AND($F451="原始數據",$U451&lt;&gt;"連結 SRC"),1,0)</f>
        <v>0</v>
      </c>
      <c r="W451" s="186" t="n">
        <f aca="false">IF(AND($F451="Analogy",OR($H451="—",$H451="")),1,0)</f>
        <v>0</v>
      </c>
      <c r="X451" s="186" t="n">
        <f aca="false">IF(AND(OR($F451="Analogy",$F451="Assumed"),$G451&lt;&gt;"低",$G451&lt;&gt;"高",NOT(ISNUMBER($K451)),NOT(ISNUMBER($L451)),OR($M451="—",$M451="")),1,0)</f>
        <v>0</v>
      </c>
      <c r="Y451" s="186" t="n">
        <f aca="false">IF(AND(OR($F451="Analogy",$F451="Assumed",$F451="Derived（待改公式）",$F451="Derived（公式）"),OR($N451="—",$N451="",$N451=0)),1,0)</f>
        <v>0</v>
      </c>
      <c r="Z451" s="186" t="n">
        <f aca="false">IF(AND($F451="Decision",OR($J451="—",$J451="")),1,0)</f>
        <v>0</v>
      </c>
      <c r="AA451" s="183" t="n">
        <f aca="false">IF(OR($J451="—",$J451=""),0,IF(COUNTIF(Decisions!$A$5:$A$300,$J451)=0,1,0))</f>
        <v>0</v>
      </c>
      <c r="AB451" s="186" t="n">
        <f aca="false">IF(AND($F451="原始數據",$S451&lt;&gt;"Active"),1,0)</f>
        <v>0</v>
      </c>
      <c r="AC451" s="186" t="n">
        <f aca="false">IF(AND(ISNUMBER($K451),ISNUMBER($L451),ISNUMBER($Q451)),IF(OR($Q451&lt;MIN($K451,$L451),$Q451&gt;MAX($K451,$L451)),1,0),0)</f>
        <v>0</v>
      </c>
      <c r="AD451" s="186" t="n">
        <f aca="false">IF(AND(ISNUMBER($T451),$P451="高"),IF($T451=3,1,0),0)</f>
        <v>0</v>
      </c>
      <c r="AE451" s="186" t="n">
        <f aca="false">IF($S451="不存在",1,0)</f>
        <v>0</v>
      </c>
      <c r="AF451" s="35" t="str">
        <f aca="false">IF(OR($H451="—",$H451=""),"—",MATCH($H451,IDX_SrcID,0))</f>
        <v>—</v>
      </c>
      <c r="AG451" s="104" t="n">
        <f aca="false">IF(AND($P451="高",OR($AD451=1,$X451=1)),1,0)</f>
        <v>0</v>
      </c>
      <c r="AH451" s="104" t="n">
        <f aca="false">IF(AND($P451="高",$AG451=0,OR($F451&lt;&gt;"原始數據",$T451&lt;&gt;1)),1,0)</f>
        <v>0</v>
      </c>
      <c r="AI451" s="53" t="str">
        <f aca="false">IF(AND($P451="高",ISNUMBER($AF451)),INDEX(IDX_SrcDate,$AF451),"—")</f>
        <v>—</v>
      </c>
      <c r="AJ451" s="104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6" t="s">
        <v>4267</v>
      </c>
      <c r="B452" s="215" t="s">
        <v>4244</v>
      </c>
      <c r="C452" s="36" t="s">
        <v>4245</v>
      </c>
      <c r="D452" s="36" t="s">
        <v>4268</v>
      </c>
      <c r="E452" s="19" t="s">
        <v>4265</v>
      </c>
      <c r="F452" s="215" t="s">
        <v>348</v>
      </c>
      <c r="G452" s="215" t="s">
        <v>4250</v>
      </c>
      <c r="H452" s="36" t="s">
        <v>587</v>
      </c>
      <c r="I452" s="6" t="s">
        <v>587</v>
      </c>
      <c r="J452" s="36" t="s">
        <v>587</v>
      </c>
      <c r="K452" s="215"/>
      <c r="L452" s="215"/>
      <c r="M452" s="36" t="s">
        <v>4269</v>
      </c>
      <c r="N452" s="19" t="s">
        <v>4266</v>
      </c>
      <c r="O452" s="6" t="s">
        <v>587</v>
      </c>
      <c r="P452" s="215" t="s">
        <v>3188</v>
      </c>
      <c r="Q452" s="185" t="s">
        <v>587</v>
      </c>
      <c r="R452" s="36" t="s">
        <v>587</v>
      </c>
      <c r="S452" s="35" t="str">
        <f aca="false">IF(ISNUMBER($AF452),INDEX(IDX_SrcStat,$AF452),"—")</f>
        <v>—</v>
      </c>
      <c r="T452" s="35" t="str">
        <f aca="false">IF(ISNUMBER($AF452),INDEX(IDX_SrcGrade,$AF452),"—")</f>
        <v>—</v>
      </c>
      <c r="U452" s="36" t="s">
        <v>587</v>
      </c>
      <c r="V452" s="186" t="n">
        <f aca="false">IF(AND($F452="原始數據",$U452&lt;&gt;"連結 SRC"),1,0)</f>
        <v>0</v>
      </c>
      <c r="W452" s="186" t="n">
        <f aca="false">IF(AND($F452="Analogy",OR($H452="—",$H452="")),1,0)</f>
        <v>0</v>
      </c>
      <c r="X452" s="186" t="n">
        <f aca="false">IF(AND(OR($F452="Analogy",$F452="Assumed"),$G452&lt;&gt;"低",$G452&lt;&gt;"高",NOT(ISNUMBER($K452)),NOT(ISNUMBER($L452)),OR($M452="—",$M452="")),1,0)</f>
        <v>0</v>
      </c>
      <c r="Y452" s="186" t="n">
        <f aca="false">IF(AND(OR($F452="Analogy",$F452="Assumed",$F452="Derived（待改公式）",$F452="Derived（公式）"),OR($N452="—",$N452="",$N452=0)),1,0)</f>
        <v>0</v>
      </c>
      <c r="Z452" s="186" t="n">
        <f aca="false">IF(AND($F452="Decision",OR($J452="—",$J452="")),1,0)</f>
        <v>0</v>
      </c>
      <c r="AA452" s="183" t="n">
        <f aca="false">IF(OR($J452="—",$J452=""),0,IF(COUNTIF(Decisions!$A$5:$A$300,$J452)=0,1,0))</f>
        <v>0</v>
      </c>
      <c r="AB452" s="186" t="n">
        <f aca="false">IF(AND($F452="原始數據",$S452&lt;&gt;"Active"),1,0)</f>
        <v>0</v>
      </c>
      <c r="AC452" s="186" t="n">
        <f aca="false">IF(AND(ISNUMBER($K452),ISNUMBER($L452),ISNUMBER($Q452)),IF(OR($Q452&lt;MIN($K452,$L452),$Q452&gt;MAX($K452,$L452)),1,0),0)</f>
        <v>0</v>
      </c>
      <c r="AD452" s="186" t="n">
        <f aca="false">IF(AND(ISNUMBER($T452),$P452="高"),IF($T452=3,1,0),0)</f>
        <v>0</v>
      </c>
      <c r="AE452" s="186" t="n">
        <f aca="false">IF($S452="不存在",1,0)</f>
        <v>0</v>
      </c>
      <c r="AF452" s="35" t="str">
        <f aca="false">IF(OR($H452="—",$H452=""),"—",MATCH($H452,IDX_SrcID,0))</f>
        <v>—</v>
      </c>
      <c r="AG452" s="104" t="n">
        <f aca="false">IF(AND($P452="高",OR($AD452=1,$X452=1)),1,0)</f>
        <v>0</v>
      </c>
      <c r="AH452" s="104" t="n">
        <f aca="false">IF(AND($P452="高",$AG452=0,OR($F452&lt;&gt;"原始數據",$T452&lt;&gt;1)),1,0)</f>
        <v>0</v>
      </c>
      <c r="AI452" s="53" t="str">
        <f aca="false">IF(AND($P452="高",ISNUMBER($AF452)),INDEX(IDX_SrcDate,$AF452),"—")</f>
        <v>—</v>
      </c>
      <c r="AJ452" s="104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6" t="s">
        <v>4270</v>
      </c>
      <c r="B453" s="215" t="s">
        <v>4244</v>
      </c>
      <c r="C453" s="36" t="s">
        <v>4245</v>
      </c>
      <c r="D453" s="36" t="s">
        <v>4271</v>
      </c>
      <c r="E453" s="19" t="s">
        <v>4272</v>
      </c>
      <c r="F453" s="36" t="s">
        <v>72</v>
      </c>
      <c r="G453" s="215" t="s">
        <v>3930</v>
      </c>
      <c r="H453" s="36" t="s">
        <v>587</v>
      </c>
      <c r="I453" s="6" t="s">
        <v>587</v>
      </c>
      <c r="J453" s="36" t="s">
        <v>4273</v>
      </c>
      <c r="K453" s="215"/>
      <c r="L453" s="215"/>
      <c r="M453" s="36" t="s">
        <v>587</v>
      </c>
      <c r="N453" s="6" t="s">
        <v>4274</v>
      </c>
      <c r="O453" s="6" t="s">
        <v>587</v>
      </c>
      <c r="P453" s="215" t="s">
        <v>3188</v>
      </c>
      <c r="Q453" s="185" t="s">
        <v>587</v>
      </c>
      <c r="R453" s="36" t="s">
        <v>587</v>
      </c>
      <c r="S453" s="35" t="str">
        <f aca="false">IF(ISNUMBER($AF453),INDEX(IDX_SrcStat,$AF453),"—")</f>
        <v>—</v>
      </c>
      <c r="T453" s="35" t="str">
        <f aca="false">IF(ISNUMBER($AF453),INDEX(IDX_SrcGrade,$AF453),"—")</f>
        <v>—</v>
      </c>
      <c r="U453" s="36" t="s">
        <v>587</v>
      </c>
      <c r="V453" s="186" t="n">
        <f aca="false">IF(AND($F453="原始數據",$U453&lt;&gt;"連結 SRC"),1,0)</f>
        <v>0</v>
      </c>
      <c r="W453" s="186" t="n">
        <f aca="false">IF(AND($F453="Analogy",OR($H453="—",$H453="")),1,0)</f>
        <v>0</v>
      </c>
      <c r="X453" s="186" t="n">
        <f aca="false">IF(AND(OR($F453="Analogy",$F453="Assumed"),$G453&lt;&gt;"低",$G453&lt;&gt;"高",NOT(ISNUMBER($K453)),NOT(ISNUMBER($L453)),OR($M453="—",$M453="")),1,0)</f>
        <v>0</v>
      </c>
      <c r="Y453" s="186" t="n">
        <f aca="false">IF(AND(OR($F453="Analogy",$F453="Assumed",$F453="Derived（待改公式）",$F453="Derived（公式）"),OR($N453="—",$N453="",$N453=0)),1,0)</f>
        <v>0</v>
      </c>
      <c r="Z453" s="186" t="n">
        <f aca="false">IF(AND($F453="Decision",OR($J453="—",$J453="")),1,0)</f>
        <v>0</v>
      </c>
      <c r="AA453" s="183" t="n">
        <f aca="false">IF(OR($J453="—",$J453=""),0,IF(COUNTIF(Decisions!$A$5:$A$300,$J453)=0,1,0))</f>
        <v>0</v>
      </c>
      <c r="AB453" s="186" t="n">
        <f aca="false">IF(AND($F453="原始數據",$S453&lt;&gt;"Active"),1,0)</f>
        <v>0</v>
      </c>
      <c r="AC453" s="186" t="n">
        <f aca="false">IF(AND(ISNUMBER($K453),ISNUMBER($L453),ISNUMBER($Q453)),IF(OR($Q453&lt;MIN($K453,$L453),$Q453&gt;MAX($K453,$L453)),1,0),0)</f>
        <v>0</v>
      </c>
      <c r="AD453" s="186" t="n">
        <f aca="false">IF(AND(ISNUMBER($T453),$P453="高"),IF($T453=3,1,0),0)</f>
        <v>0</v>
      </c>
      <c r="AE453" s="186" t="n">
        <f aca="false">IF($S453="不存在",1,0)</f>
        <v>0</v>
      </c>
      <c r="AF453" s="35" t="str">
        <f aca="false">IF(OR($H453="—",$H453=""),"—",MATCH($H453,IDX_SrcID,0))</f>
        <v>—</v>
      </c>
      <c r="AG453" s="104" t="n">
        <f aca="false">IF(AND($P453="高",OR($AD453=1,$X453=1)),1,0)</f>
        <v>0</v>
      </c>
      <c r="AH453" s="104" t="n">
        <f aca="false">IF(AND($P453="高",$AG453=0,OR($F453&lt;&gt;"原始數據",$T453&lt;&gt;1)),1,0)</f>
        <v>0</v>
      </c>
      <c r="AI453" s="53" t="str">
        <f aca="false">IF(AND($P453="高",ISNUMBER($AF453)),INDEX(IDX_SrcDate,$AF453),"—")</f>
        <v>—</v>
      </c>
      <c r="AJ453" s="104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6" t="s">
        <v>4275</v>
      </c>
      <c r="B454" s="215" t="s">
        <v>4244</v>
      </c>
      <c r="C454" s="36" t="s">
        <v>4245</v>
      </c>
      <c r="D454" s="36" t="s">
        <v>4276</v>
      </c>
      <c r="E454" s="19" t="s">
        <v>1133</v>
      </c>
      <c r="F454" s="36" t="s">
        <v>80</v>
      </c>
      <c r="G454" s="215" t="s">
        <v>3930</v>
      </c>
      <c r="H454" s="36" t="s">
        <v>587</v>
      </c>
      <c r="I454" s="6" t="s">
        <v>587</v>
      </c>
      <c r="J454" s="36" t="s">
        <v>3144</v>
      </c>
      <c r="K454" s="215"/>
      <c r="L454" s="215"/>
      <c r="M454" s="215" t="s">
        <v>4277</v>
      </c>
      <c r="N454" s="6" t="s">
        <v>4278</v>
      </c>
      <c r="O454" s="6" t="s">
        <v>587</v>
      </c>
      <c r="P454" s="215" t="s">
        <v>3188</v>
      </c>
      <c r="Q454" s="185" t="s">
        <v>587</v>
      </c>
      <c r="R454" s="36" t="s">
        <v>587</v>
      </c>
      <c r="S454" s="35" t="str">
        <f aca="false">IF(ISNUMBER($AF454),INDEX(IDX_SrcStat,$AF454),"—")</f>
        <v>—</v>
      </c>
      <c r="T454" s="35" t="str">
        <f aca="false">IF(ISNUMBER($AF454),INDEX(IDX_SrcGrade,$AF454),"—")</f>
        <v>—</v>
      </c>
      <c r="U454" s="36" t="s">
        <v>587</v>
      </c>
      <c r="V454" s="186" t="n">
        <f aca="false">IF(AND($F454="原始數據",$U454&lt;&gt;"連結 SRC"),1,0)</f>
        <v>0</v>
      </c>
      <c r="W454" s="186" t="n">
        <f aca="false">IF(AND($F454="Analogy",OR($H454="—",$H454="")),1,0)</f>
        <v>0</v>
      </c>
      <c r="X454" s="186" t="n">
        <f aca="false">IF(AND(OR($F454="Analogy",$F454="Assumed"),$G454&lt;&gt;"低",$G454&lt;&gt;"高",NOT(ISNUMBER($K454)),NOT(ISNUMBER($L454)),OR($M454="—",$M454="")),1,0)</f>
        <v>0</v>
      </c>
      <c r="Y454" s="186" t="n">
        <f aca="false">IF(AND(OR($F454="Analogy",$F454="Assumed",$F454="Derived（待改公式）",$F454="Derived（公式）"),OR($N454="—",$N454="",$N454=0)),1,0)</f>
        <v>0</v>
      </c>
      <c r="Z454" s="186" t="n">
        <f aca="false">IF(AND($F454="Decision",OR($J454="—",$J454="")),1,0)</f>
        <v>0</v>
      </c>
      <c r="AA454" s="183" t="n">
        <f aca="false">IF(OR($J454="—",$J454=""),0,IF(COUNTIF(Decisions!$A$5:$A$300,$J454)=0,1,0))</f>
        <v>0</v>
      </c>
      <c r="AB454" s="186" t="n">
        <f aca="false">IF(AND($F454="原始數據",$S454&lt;&gt;"Active"),1,0)</f>
        <v>0</v>
      </c>
      <c r="AC454" s="186" t="n">
        <f aca="false">IF(AND(ISNUMBER($K454),ISNUMBER($L454),ISNUMBER($Q454)),IF(OR($Q454&lt;MIN($K454,$L454),$Q454&gt;MAX($K454,$L454)),1,0),0)</f>
        <v>0</v>
      </c>
      <c r="AD454" s="186" t="n">
        <f aca="false">IF(AND(ISNUMBER($T454),$P454="高"),IF($T454=3,1,0),0)</f>
        <v>0</v>
      </c>
      <c r="AE454" s="186" t="n">
        <f aca="false">IF($S454="不存在",1,0)</f>
        <v>0</v>
      </c>
      <c r="AF454" s="35" t="str">
        <f aca="false">IF(OR($H454="—",$H454=""),"—",MATCH($H454,IDX_SrcID,0))</f>
        <v>—</v>
      </c>
      <c r="AG454" s="104" t="n">
        <f aca="false">IF(AND($P454="高",OR($AD454=1,$X454=1)),1,0)</f>
        <v>0</v>
      </c>
      <c r="AH454" s="104" t="n">
        <f aca="false">IF(AND($P454="高",$AG454=0,OR($F454&lt;&gt;"原始數據",$T454&lt;&gt;1)),1,0)</f>
        <v>0</v>
      </c>
      <c r="AI454" s="53" t="str">
        <f aca="false">IF(AND($P454="高",ISNUMBER($AF454)),INDEX(IDX_SrcDate,$AF454),"—")</f>
        <v>—</v>
      </c>
      <c r="AJ454" s="104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6" t="s">
        <v>4279</v>
      </c>
      <c r="B455" s="215" t="s">
        <v>4244</v>
      </c>
      <c r="C455" s="36" t="s">
        <v>4245</v>
      </c>
      <c r="D455" s="36" t="s">
        <v>4280</v>
      </c>
      <c r="E455" s="19" t="s">
        <v>1136</v>
      </c>
      <c r="F455" s="36" t="s">
        <v>80</v>
      </c>
      <c r="G455" s="215" t="s">
        <v>1115</v>
      </c>
      <c r="H455" s="36" t="s">
        <v>587</v>
      </c>
      <c r="I455" s="6" t="s">
        <v>587</v>
      </c>
      <c r="J455" s="36" t="s">
        <v>3144</v>
      </c>
      <c r="K455" s="215"/>
      <c r="L455" s="215"/>
      <c r="M455" s="36" t="s">
        <v>587</v>
      </c>
      <c r="N455" s="6" t="s">
        <v>4278</v>
      </c>
      <c r="O455" s="6" t="s">
        <v>587</v>
      </c>
      <c r="P455" s="215" t="s">
        <v>3188</v>
      </c>
      <c r="Q455" s="185" t="s">
        <v>587</v>
      </c>
      <c r="R455" s="36" t="s">
        <v>587</v>
      </c>
      <c r="S455" s="35" t="str">
        <f aca="false">IF(ISNUMBER($AF455),INDEX(IDX_SrcStat,$AF455),"—")</f>
        <v>—</v>
      </c>
      <c r="T455" s="35" t="str">
        <f aca="false">IF(ISNUMBER($AF455),INDEX(IDX_SrcGrade,$AF455),"—")</f>
        <v>—</v>
      </c>
      <c r="U455" s="36" t="s">
        <v>587</v>
      </c>
      <c r="V455" s="186" t="n">
        <f aca="false">IF(AND($F455="原始數據",$U455&lt;&gt;"連結 SRC"),1,0)</f>
        <v>0</v>
      </c>
      <c r="W455" s="186" t="n">
        <f aca="false">IF(AND($F455="Analogy",OR($H455="—",$H455="")),1,0)</f>
        <v>0</v>
      </c>
      <c r="X455" s="186" t="n">
        <f aca="false">IF(AND(OR($F455="Analogy",$F455="Assumed"),$G455&lt;&gt;"低",$G455&lt;&gt;"高",NOT(ISNUMBER($K455)),NOT(ISNUMBER($L455)),OR($M455="—",$M455="")),1,0)</f>
        <v>0</v>
      </c>
      <c r="Y455" s="186" t="n">
        <f aca="false">IF(AND(OR($F455="Analogy",$F455="Assumed",$F455="Derived（待改公式）",$F455="Derived（公式）"),OR($N455="—",$N455="",$N455=0)),1,0)</f>
        <v>0</v>
      </c>
      <c r="Z455" s="186" t="n">
        <f aca="false">IF(AND($F455="Decision",OR($J455="—",$J455="")),1,0)</f>
        <v>0</v>
      </c>
      <c r="AA455" s="183" t="n">
        <f aca="false">IF(OR($J455="—",$J455=""),0,IF(COUNTIF(Decisions!$A$5:$A$300,$J455)=0,1,0))</f>
        <v>0</v>
      </c>
      <c r="AB455" s="186" t="n">
        <f aca="false">IF(AND($F455="原始數據",$S455&lt;&gt;"Active"),1,0)</f>
        <v>0</v>
      </c>
      <c r="AC455" s="186" t="n">
        <f aca="false">IF(AND(ISNUMBER($K455),ISNUMBER($L455),ISNUMBER($Q455)),IF(OR($Q455&lt;MIN($K455,$L455),$Q455&gt;MAX($K455,$L455)),1,0),0)</f>
        <v>0</v>
      </c>
      <c r="AD455" s="186" t="n">
        <f aca="false">IF(AND(ISNUMBER($T455),$P455="高"),IF($T455=3,1,0),0)</f>
        <v>0</v>
      </c>
      <c r="AE455" s="186" t="n">
        <f aca="false">IF($S455="不存在",1,0)</f>
        <v>0</v>
      </c>
      <c r="AF455" s="35" t="str">
        <f aca="false">IF(OR($H455="—",$H455=""),"—",MATCH($H455,IDX_SrcID,0))</f>
        <v>—</v>
      </c>
      <c r="AG455" s="104" t="n">
        <f aca="false">IF(AND($P455="高",OR($AD455=1,$X455=1)),1,0)</f>
        <v>0</v>
      </c>
      <c r="AH455" s="104" t="n">
        <f aca="false">IF(AND($P455="高",$AG455=0,OR($F455&lt;&gt;"原始數據",$T455&lt;&gt;1)),1,0)</f>
        <v>0</v>
      </c>
      <c r="AI455" s="53" t="str">
        <f aca="false">IF(AND($P455="高",ISNUMBER($AF455)),INDEX(IDX_SrcDate,$AF455),"—")</f>
        <v>—</v>
      </c>
      <c r="AJ455" s="104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6" t="s">
        <v>4281</v>
      </c>
      <c r="B456" s="215" t="s">
        <v>4244</v>
      </c>
      <c r="C456" s="36" t="s">
        <v>4245</v>
      </c>
      <c r="D456" s="36" t="s">
        <v>4282</v>
      </c>
      <c r="E456" s="19" t="s">
        <v>1137</v>
      </c>
      <c r="F456" s="36" t="s">
        <v>80</v>
      </c>
      <c r="G456" s="215" t="s">
        <v>1116</v>
      </c>
      <c r="H456" s="36" t="s">
        <v>587</v>
      </c>
      <c r="I456" s="6" t="s">
        <v>587</v>
      </c>
      <c r="J456" s="36" t="s">
        <v>3144</v>
      </c>
      <c r="K456" s="215"/>
      <c r="L456" s="215"/>
      <c r="M456" s="36" t="s">
        <v>587</v>
      </c>
      <c r="N456" s="6" t="s">
        <v>4278</v>
      </c>
      <c r="O456" s="6" t="s">
        <v>587</v>
      </c>
      <c r="P456" s="215" t="s">
        <v>3188</v>
      </c>
      <c r="Q456" s="185" t="s">
        <v>587</v>
      </c>
      <c r="R456" s="36" t="s">
        <v>587</v>
      </c>
      <c r="S456" s="35" t="str">
        <f aca="false">IF(ISNUMBER($AF456),INDEX(IDX_SrcStat,$AF456),"—")</f>
        <v>—</v>
      </c>
      <c r="T456" s="35" t="str">
        <f aca="false">IF(ISNUMBER($AF456),INDEX(IDX_SrcGrade,$AF456),"—")</f>
        <v>—</v>
      </c>
      <c r="U456" s="36" t="s">
        <v>587</v>
      </c>
      <c r="V456" s="186" t="n">
        <f aca="false">IF(AND($F456="原始數據",$U456&lt;&gt;"連結 SRC"),1,0)</f>
        <v>0</v>
      </c>
      <c r="W456" s="186" t="n">
        <f aca="false">IF(AND($F456="Analogy",OR($H456="—",$H456="")),1,0)</f>
        <v>0</v>
      </c>
      <c r="X456" s="186" t="n">
        <f aca="false">IF(AND(OR($F456="Analogy",$F456="Assumed"),$G456&lt;&gt;"低",$G456&lt;&gt;"高",NOT(ISNUMBER($K456)),NOT(ISNUMBER($L456)),OR($M456="—",$M456="")),1,0)</f>
        <v>0</v>
      </c>
      <c r="Y456" s="186" t="n">
        <f aca="false">IF(AND(OR($F456="Analogy",$F456="Assumed",$F456="Derived（待改公式）",$F456="Derived（公式）"),OR($N456="—",$N456="",$N456=0)),1,0)</f>
        <v>0</v>
      </c>
      <c r="Z456" s="186" t="n">
        <f aca="false">IF(AND($F456="Decision",OR($J456="—",$J456="")),1,0)</f>
        <v>0</v>
      </c>
      <c r="AA456" s="183" t="n">
        <f aca="false">IF(OR($J456="—",$J456=""),0,IF(COUNTIF(Decisions!$A$5:$A$300,$J456)=0,1,0))</f>
        <v>0</v>
      </c>
      <c r="AB456" s="186" t="n">
        <f aca="false">IF(AND($F456="原始數據",$S456&lt;&gt;"Active"),1,0)</f>
        <v>0</v>
      </c>
      <c r="AC456" s="186" t="n">
        <f aca="false">IF(AND(ISNUMBER($K456),ISNUMBER($L456),ISNUMBER($Q456)),IF(OR($Q456&lt;MIN($K456,$L456),$Q456&gt;MAX($K456,$L456)),1,0),0)</f>
        <v>0</v>
      </c>
      <c r="AD456" s="186" t="n">
        <f aca="false">IF(AND(ISNUMBER($T456),$P456="高"),IF($T456=3,1,0),0)</f>
        <v>0</v>
      </c>
      <c r="AE456" s="186" t="n">
        <f aca="false">IF($S456="不存在",1,0)</f>
        <v>0</v>
      </c>
      <c r="AF456" s="35" t="str">
        <f aca="false">IF(OR($H456="—",$H456=""),"—",MATCH($H456,IDX_SrcID,0))</f>
        <v>—</v>
      </c>
      <c r="AG456" s="104" t="n">
        <f aca="false">IF(AND($P456="高",OR($AD456=1,$X456=1)),1,0)</f>
        <v>0</v>
      </c>
      <c r="AH456" s="104" t="n">
        <f aca="false">IF(AND($P456="高",$AG456=0,OR($F456&lt;&gt;"原始數據",$T456&lt;&gt;1)),1,0)</f>
        <v>0</v>
      </c>
      <c r="AI456" s="53" t="str">
        <f aca="false">IF(AND($P456="高",ISNUMBER($AF456)),INDEX(IDX_SrcDate,$AF456),"—")</f>
        <v>—</v>
      </c>
      <c r="AJ456" s="104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6" t="s">
        <v>4283</v>
      </c>
      <c r="B457" s="215" t="s">
        <v>4244</v>
      </c>
      <c r="C457" s="36" t="s">
        <v>4245</v>
      </c>
      <c r="D457" s="36" t="s">
        <v>3532</v>
      </c>
      <c r="E457" s="19" t="s">
        <v>1139</v>
      </c>
      <c r="F457" s="215" t="s">
        <v>3370</v>
      </c>
      <c r="G457" s="215" t="s">
        <v>65</v>
      </c>
      <c r="H457" s="36" t="s">
        <v>2531</v>
      </c>
      <c r="I457" s="19" t="s">
        <v>4284</v>
      </c>
      <c r="J457" s="36" t="s">
        <v>3150</v>
      </c>
      <c r="K457" s="177" t="n">
        <f aca="false">Cap_In!D28</f>
        <v>0.3</v>
      </c>
      <c r="L457" s="177" t="n">
        <f aca="false">Cap_In!E28</f>
        <v>0.6</v>
      </c>
      <c r="M457" s="36" t="s">
        <v>587</v>
      </c>
      <c r="N457" s="19" t="s">
        <v>4285</v>
      </c>
      <c r="O457" s="6" t="s">
        <v>4286</v>
      </c>
      <c r="P457" s="215" t="s">
        <v>1116</v>
      </c>
      <c r="Q457" s="177" t="n">
        <f aca="false">Cap_In!C28</f>
        <v>0.41</v>
      </c>
      <c r="R457" s="185" t="n">
        <f aca="false">SRC_DEM_018</f>
        <v>12.6</v>
      </c>
      <c r="S457" s="35" t="str">
        <f aca="false">IF(ISNUMBER($AF457),INDEX(IDX_SrcStat,$AF457),"—")</f>
        <v>Active</v>
      </c>
      <c r="T457" s="35" t="n">
        <f aca="false">IF(ISNUMBER($AF457),INDEX(IDX_SrcGrade,$AF457),"—")</f>
        <v>2</v>
      </c>
      <c r="U457" s="35" t="s">
        <v>3189</v>
      </c>
      <c r="V457" s="186" t="n">
        <f aca="false">IF(AND($F457="原始數據",$U457&lt;&gt;"連結 SRC"),1,0)</f>
        <v>0</v>
      </c>
      <c r="W457" s="186" t="n">
        <f aca="false">IF(AND($F457="Analogy",OR($H457="—",$H457="")),1,0)</f>
        <v>0</v>
      </c>
      <c r="X457" s="186" t="n">
        <f aca="false">IF(AND(OR($F457="Analogy",$F457="Assumed"),$G457&lt;&gt;"低",$G457&lt;&gt;"高",NOT(ISNUMBER($K457)),NOT(ISNUMBER($L457)),OR($M457="—",$M457="")),1,0)</f>
        <v>0</v>
      </c>
      <c r="Y457" s="186" t="n">
        <f aca="false">IF(AND(OR($F457="Analogy",$F457="Assumed",$F457="Derived（待改公式）",$F457="Derived（公式）"),OR($N457="—",$N457="",$N457=0)),1,0)</f>
        <v>0</v>
      </c>
      <c r="Z457" s="186" t="n">
        <f aca="false">IF(AND($F457="Decision",OR($J457="—",$J457="")),1,0)</f>
        <v>0</v>
      </c>
      <c r="AA457" s="183" t="n">
        <f aca="false">IF(OR($J457="—",$J457=""),0,IF(COUNTIF(Decisions!$A$5:$A$300,$J457)=0,1,0))</f>
        <v>0</v>
      </c>
      <c r="AB457" s="186" t="n">
        <f aca="false">IF(AND($F457="原始數據",$S457&lt;&gt;"Active"),1,0)</f>
        <v>0</v>
      </c>
      <c r="AC457" s="186" t="n">
        <f aca="false">IF(AND(ISNUMBER($K457),ISNUMBER($L457),ISNUMBER($Q457)),IF(OR($Q457&lt;MIN($K457,$L457),$Q457&gt;MAX($K457,$L457)),1,0),0)</f>
        <v>0</v>
      </c>
      <c r="AD457" s="186" t="n">
        <f aca="false">IF(AND(ISNUMBER($T457),$P457="高"),IF($T457=3,1,0),0)</f>
        <v>0</v>
      </c>
      <c r="AE457" s="186" t="n">
        <f aca="false">IF($S457="不存在",1,0)</f>
        <v>0</v>
      </c>
      <c r="AF457" s="35" t="n">
        <f aca="false">IF(OR($H457="—",$H457=""),"—",MATCH($H457,IDX_SrcID,0))</f>
        <v>645</v>
      </c>
      <c r="AG457" s="104" t="n">
        <f aca="false">IF(AND($P457="高",OR($AD457=1,$X457=1)),1,0)</f>
        <v>0</v>
      </c>
      <c r="AH457" s="104" t="n">
        <f aca="false">IF(AND($P457="高",$AG457=0,OR($F457&lt;&gt;"原始數據",$T457&lt;&gt;1)),1,0)</f>
        <v>1</v>
      </c>
      <c r="AI457" s="53" t="str">
        <f aca="false">IF(AND($P457="高",ISNUMBER($AF457)),INDEX(IDX_SrcDate,$AF457),"—")</f>
        <v>—</v>
      </c>
      <c r="AJ457" s="104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6" t="s">
        <v>4287</v>
      </c>
      <c r="B458" s="215" t="s">
        <v>4244</v>
      </c>
      <c r="C458" s="36" t="s">
        <v>4245</v>
      </c>
      <c r="D458" s="36" t="s">
        <v>4288</v>
      </c>
      <c r="E458" s="19" t="s">
        <v>1139</v>
      </c>
      <c r="F458" s="36" t="s">
        <v>80</v>
      </c>
      <c r="G458" s="215" t="s">
        <v>4250</v>
      </c>
      <c r="H458" s="36" t="s">
        <v>587</v>
      </c>
      <c r="I458" s="6" t="s">
        <v>587</v>
      </c>
      <c r="J458" s="36" t="s">
        <v>3150</v>
      </c>
      <c r="K458" s="215"/>
      <c r="L458" s="215"/>
      <c r="M458" s="36" t="s">
        <v>4289</v>
      </c>
      <c r="N458" s="6" t="s">
        <v>4290</v>
      </c>
      <c r="O458" s="6" t="s">
        <v>587</v>
      </c>
      <c r="P458" s="215" t="s">
        <v>1116</v>
      </c>
      <c r="Q458" s="185" t="s">
        <v>587</v>
      </c>
      <c r="R458" s="36" t="s">
        <v>587</v>
      </c>
      <c r="S458" s="35" t="str">
        <f aca="false">IF(ISNUMBER($AF458),INDEX(IDX_SrcStat,$AF458),"—")</f>
        <v>—</v>
      </c>
      <c r="T458" s="35" t="str">
        <f aca="false">IF(ISNUMBER($AF458),INDEX(IDX_SrcGrade,$AF458),"—")</f>
        <v>—</v>
      </c>
      <c r="U458" s="36" t="s">
        <v>587</v>
      </c>
      <c r="V458" s="186" t="n">
        <f aca="false">IF(AND($F458="原始數據",$U458&lt;&gt;"連結 SRC"),1,0)</f>
        <v>0</v>
      </c>
      <c r="W458" s="186" t="n">
        <f aca="false">IF(AND($F458="Analogy",OR($H458="—",$H458="")),1,0)</f>
        <v>0</v>
      </c>
      <c r="X458" s="186" t="n">
        <f aca="false">IF(AND(OR($F458="Analogy",$F458="Assumed"),$G458&lt;&gt;"低",$G458&lt;&gt;"高",NOT(ISNUMBER($K458)),NOT(ISNUMBER($L458)),OR($M458="—",$M458="")),1,0)</f>
        <v>0</v>
      </c>
      <c r="Y458" s="186" t="n">
        <f aca="false">IF(AND(OR($F458="Analogy",$F458="Assumed",$F458="Derived（待改公式）",$F458="Derived（公式）"),OR($N458="—",$N458="",$N458=0)),1,0)</f>
        <v>0</v>
      </c>
      <c r="Z458" s="186" t="n">
        <f aca="false">IF(AND($F458="Decision",OR($J458="—",$J458="")),1,0)</f>
        <v>0</v>
      </c>
      <c r="AA458" s="183" t="n">
        <f aca="false">IF(OR($J458="—",$J458=""),0,IF(COUNTIF(Decisions!$A$5:$A$300,$J458)=0,1,0))</f>
        <v>0</v>
      </c>
      <c r="AB458" s="186" t="n">
        <f aca="false">IF(AND($F458="原始數據",$S458&lt;&gt;"Active"),1,0)</f>
        <v>0</v>
      </c>
      <c r="AC458" s="186" t="n">
        <f aca="false">IF(AND(ISNUMBER($K458),ISNUMBER($L458),ISNUMBER($Q458)),IF(OR($Q458&lt;MIN($K458,$L458),$Q458&gt;MAX($K458,$L458)),1,0),0)</f>
        <v>0</v>
      </c>
      <c r="AD458" s="186" t="n">
        <f aca="false">IF(AND(ISNUMBER($T458),$P458="高"),IF($T458=3,1,0),0)</f>
        <v>0</v>
      </c>
      <c r="AE458" s="186" t="n">
        <f aca="false">IF($S458="不存在",1,0)</f>
        <v>0</v>
      </c>
      <c r="AF458" s="35" t="str">
        <f aca="false">IF(OR($H458="—",$H458=""),"—",MATCH($H458,IDX_SrcID,0))</f>
        <v>—</v>
      </c>
      <c r="AG458" s="104" t="n">
        <f aca="false">IF(AND($P458="高",OR($AD458=1,$X458=1)),1,0)</f>
        <v>0</v>
      </c>
      <c r="AH458" s="104" t="n">
        <f aca="false">IF(AND($P458="高",$AG458=0,OR($F458&lt;&gt;"原始數據",$T458&lt;&gt;1)),1,0)</f>
        <v>1</v>
      </c>
      <c r="AI458" s="53" t="str">
        <f aca="false">IF(AND($P458="高",ISNUMBER($AF458)),INDEX(IDX_SrcDate,$AF458),"—")</f>
        <v>—</v>
      </c>
      <c r="AJ458" s="104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6" t="s">
        <v>4291</v>
      </c>
      <c r="B459" s="215" t="s">
        <v>4244</v>
      </c>
      <c r="C459" s="36" t="s">
        <v>4245</v>
      </c>
      <c r="D459" s="36" t="s">
        <v>3542</v>
      </c>
      <c r="E459" s="19" t="s">
        <v>1142</v>
      </c>
      <c r="F459" s="215" t="s">
        <v>3370</v>
      </c>
      <c r="G459" s="215" t="s">
        <v>65</v>
      </c>
      <c r="H459" s="36" t="s">
        <v>4292</v>
      </c>
      <c r="I459" s="19" t="s">
        <v>4293</v>
      </c>
      <c r="J459" s="36" t="s">
        <v>3150</v>
      </c>
      <c r="K459" s="177" t="n">
        <f aca="false">Cap_In!D29</f>
        <v>0.35</v>
      </c>
      <c r="L459" s="177" t="n">
        <f aca="false">Cap_In!E29</f>
        <v>0.6</v>
      </c>
      <c r="M459" s="36" t="s">
        <v>587</v>
      </c>
      <c r="N459" s="19" t="s">
        <v>4294</v>
      </c>
      <c r="O459" s="6" t="s">
        <v>4295</v>
      </c>
      <c r="P459" s="215" t="s">
        <v>1116</v>
      </c>
      <c r="Q459" s="177" t="n">
        <f aca="false">Cap_In!C29</f>
        <v>0.46</v>
      </c>
      <c r="R459" s="185" t="n">
        <f aca="false">SRC_DEM_005</f>
        <v>3.9</v>
      </c>
      <c r="S459" s="35" t="str">
        <f aca="false">IF(ISNUMBER($AF459),INDEX(IDX_SrcStat,$AF459),"—")</f>
        <v>Active</v>
      </c>
      <c r="T459" s="35" t="n">
        <f aca="false">IF(ISNUMBER($AF459),INDEX(IDX_SrcGrade,$AF459),"—")</f>
        <v>2</v>
      </c>
      <c r="U459" s="35" t="s">
        <v>3189</v>
      </c>
      <c r="V459" s="186" t="n">
        <f aca="false">IF(AND($F459="原始數據",$U459&lt;&gt;"連結 SRC"),1,0)</f>
        <v>0</v>
      </c>
      <c r="W459" s="186" t="n">
        <f aca="false">IF(AND($F459="Analogy",OR($H459="—",$H459="")),1,0)</f>
        <v>0</v>
      </c>
      <c r="X459" s="186" t="n">
        <f aca="false">IF(AND(OR($F459="Analogy",$F459="Assumed"),$G459&lt;&gt;"低",$G459&lt;&gt;"高",NOT(ISNUMBER($K459)),NOT(ISNUMBER($L459)),OR($M459="—",$M459="")),1,0)</f>
        <v>0</v>
      </c>
      <c r="Y459" s="186" t="n">
        <f aca="false">IF(AND(OR($F459="Analogy",$F459="Assumed",$F459="Derived（待改公式）",$F459="Derived（公式）"),OR($N459="—",$N459="",$N459=0)),1,0)</f>
        <v>0</v>
      </c>
      <c r="Z459" s="186" t="n">
        <f aca="false">IF(AND($F459="Decision",OR($J459="—",$J459="")),1,0)</f>
        <v>0</v>
      </c>
      <c r="AA459" s="183" t="n">
        <f aca="false">IF(OR($J459="—",$J459=""),0,IF(COUNTIF(Decisions!$A$5:$A$300,$J459)=0,1,0))</f>
        <v>0</v>
      </c>
      <c r="AB459" s="186" t="n">
        <f aca="false">IF(AND($F459="原始數據",$S459&lt;&gt;"Active"),1,0)</f>
        <v>0</v>
      </c>
      <c r="AC459" s="186" t="n">
        <f aca="false">IF(AND(ISNUMBER($K459),ISNUMBER($L459),ISNUMBER($Q459)),IF(OR($Q459&lt;MIN($K459,$L459),$Q459&gt;MAX($K459,$L459)),1,0),0)</f>
        <v>0</v>
      </c>
      <c r="AD459" s="186" t="n">
        <f aca="false">IF(AND(ISNUMBER($T459),$P459="高"),IF($T459=3,1,0),0)</f>
        <v>0</v>
      </c>
      <c r="AE459" s="186" t="n">
        <f aca="false">IF($S459="不存在",1,0)</f>
        <v>0</v>
      </c>
      <c r="AF459" s="35" t="n">
        <f aca="false">IF(OR($H459="—",$H459=""),"—",MATCH($H459,IDX_SrcID,0))</f>
        <v>632</v>
      </c>
      <c r="AG459" s="104" t="n">
        <f aca="false">IF(AND($P459="高",OR($AD459=1,$X459=1)),1,0)</f>
        <v>0</v>
      </c>
      <c r="AH459" s="104" t="n">
        <f aca="false">IF(AND($P459="高",$AG459=0,OR($F459&lt;&gt;"原始數據",$T459&lt;&gt;1)),1,0)</f>
        <v>1</v>
      </c>
      <c r="AI459" s="53" t="str">
        <f aca="false">IF(AND($P459="高",ISNUMBER($AF459)),INDEX(IDX_SrcDate,$AF459),"—")</f>
        <v>—</v>
      </c>
      <c r="AJ459" s="104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6" t="s">
        <v>4296</v>
      </c>
      <c r="B460" s="215" t="s">
        <v>4244</v>
      </c>
      <c r="C460" s="36" t="s">
        <v>4245</v>
      </c>
      <c r="D460" s="36" t="s">
        <v>4297</v>
      </c>
      <c r="E460" s="19" t="s">
        <v>1142</v>
      </c>
      <c r="F460" s="36" t="s">
        <v>80</v>
      </c>
      <c r="G460" s="215" t="s">
        <v>4250</v>
      </c>
      <c r="H460" s="36" t="s">
        <v>587</v>
      </c>
      <c r="I460" s="6" t="s">
        <v>587</v>
      </c>
      <c r="J460" s="36" t="s">
        <v>3150</v>
      </c>
      <c r="K460" s="215"/>
      <c r="L460" s="215"/>
      <c r="M460" s="36" t="s">
        <v>4298</v>
      </c>
      <c r="N460" s="6" t="s">
        <v>4299</v>
      </c>
      <c r="O460" s="6" t="s">
        <v>587</v>
      </c>
      <c r="P460" s="215" t="s">
        <v>1116</v>
      </c>
      <c r="Q460" s="185" t="s">
        <v>587</v>
      </c>
      <c r="R460" s="36" t="s">
        <v>587</v>
      </c>
      <c r="S460" s="35" t="str">
        <f aca="false">IF(ISNUMBER($AF460),INDEX(IDX_SrcStat,$AF460),"—")</f>
        <v>—</v>
      </c>
      <c r="T460" s="35" t="str">
        <f aca="false">IF(ISNUMBER($AF460),INDEX(IDX_SrcGrade,$AF460),"—")</f>
        <v>—</v>
      </c>
      <c r="U460" s="36" t="s">
        <v>587</v>
      </c>
      <c r="V460" s="186" t="n">
        <f aca="false">IF(AND($F460="原始數據",$U460&lt;&gt;"連結 SRC"),1,0)</f>
        <v>0</v>
      </c>
      <c r="W460" s="186" t="n">
        <f aca="false">IF(AND($F460="Analogy",OR($H460="—",$H460="")),1,0)</f>
        <v>0</v>
      </c>
      <c r="X460" s="186" t="n">
        <f aca="false">IF(AND(OR($F460="Analogy",$F460="Assumed"),$G460&lt;&gt;"低",$G460&lt;&gt;"高",NOT(ISNUMBER($K460)),NOT(ISNUMBER($L460)),OR($M460="—",$M460="")),1,0)</f>
        <v>0</v>
      </c>
      <c r="Y460" s="186" t="n">
        <f aca="false">IF(AND(OR($F460="Analogy",$F460="Assumed",$F460="Derived（待改公式）",$F460="Derived（公式）"),OR($N460="—",$N460="",$N460=0)),1,0)</f>
        <v>0</v>
      </c>
      <c r="Z460" s="186" t="n">
        <f aca="false">IF(AND($F460="Decision",OR($J460="—",$J460="")),1,0)</f>
        <v>0</v>
      </c>
      <c r="AA460" s="183" t="n">
        <f aca="false">IF(OR($J460="—",$J460=""),0,IF(COUNTIF(Decisions!$A$5:$A$300,$J460)=0,1,0))</f>
        <v>0</v>
      </c>
      <c r="AB460" s="186" t="n">
        <f aca="false">IF(AND($F460="原始數據",$S460&lt;&gt;"Active"),1,0)</f>
        <v>0</v>
      </c>
      <c r="AC460" s="186" t="n">
        <f aca="false">IF(AND(ISNUMBER($K460),ISNUMBER($L460),ISNUMBER($Q460)),IF(OR($Q460&lt;MIN($K460,$L460),$Q460&gt;MAX($K460,$L460)),1,0),0)</f>
        <v>0</v>
      </c>
      <c r="AD460" s="186" t="n">
        <f aca="false">IF(AND(ISNUMBER($T460),$P460="高"),IF($T460=3,1,0),0)</f>
        <v>0</v>
      </c>
      <c r="AE460" s="186" t="n">
        <f aca="false">IF($S460="不存在",1,0)</f>
        <v>0</v>
      </c>
      <c r="AF460" s="35" t="str">
        <f aca="false">IF(OR($H460="—",$H460=""),"—",MATCH($H460,IDX_SrcID,0))</f>
        <v>—</v>
      </c>
      <c r="AG460" s="104" t="n">
        <f aca="false">IF(AND($P460="高",OR($AD460=1,$X460=1)),1,0)</f>
        <v>0</v>
      </c>
      <c r="AH460" s="104" t="n">
        <f aca="false">IF(AND($P460="高",$AG460=0,OR($F460&lt;&gt;"原始數據",$T460&lt;&gt;1)),1,0)</f>
        <v>1</v>
      </c>
      <c r="AI460" s="53" t="str">
        <f aca="false">IF(AND($P460="高",ISNUMBER($AF460)),INDEX(IDX_SrcDate,$AF460),"—")</f>
        <v>—</v>
      </c>
      <c r="AJ460" s="104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6" t="s">
        <v>4300</v>
      </c>
      <c r="B461" s="215" t="s">
        <v>4244</v>
      </c>
      <c r="C461" s="36" t="s">
        <v>4245</v>
      </c>
      <c r="D461" s="36" t="s">
        <v>4301</v>
      </c>
      <c r="E461" s="19" t="s">
        <v>4302</v>
      </c>
      <c r="F461" s="36" t="s">
        <v>80</v>
      </c>
      <c r="G461" s="215" t="s">
        <v>3930</v>
      </c>
      <c r="H461" s="36" t="s">
        <v>587</v>
      </c>
      <c r="I461" s="6" t="s">
        <v>587</v>
      </c>
      <c r="J461" s="36" t="s">
        <v>3150</v>
      </c>
      <c r="K461" s="215"/>
      <c r="L461" s="215"/>
      <c r="M461" s="215" t="s">
        <v>4303</v>
      </c>
      <c r="N461" s="6" t="s">
        <v>4304</v>
      </c>
      <c r="O461" s="6" t="s">
        <v>587</v>
      </c>
      <c r="P461" s="215" t="s">
        <v>3188</v>
      </c>
      <c r="Q461" s="185" t="s">
        <v>587</v>
      </c>
      <c r="R461" s="36" t="s">
        <v>587</v>
      </c>
      <c r="S461" s="35" t="str">
        <f aca="false">IF(ISNUMBER($AF461),INDEX(IDX_SrcStat,$AF461),"—")</f>
        <v>—</v>
      </c>
      <c r="T461" s="35" t="str">
        <f aca="false">IF(ISNUMBER($AF461),INDEX(IDX_SrcGrade,$AF461),"—")</f>
        <v>—</v>
      </c>
      <c r="U461" s="36" t="s">
        <v>587</v>
      </c>
      <c r="V461" s="186" t="n">
        <f aca="false">IF(AND($F461="原始數據",$U461&lt;&gt;"連結 SRC"),1,0)</f>
        <v>0</v>
      </c>
      <c r="W461" s="186" t="n">
        <f aca="false">IF(AND($F461="Analogy",OR($H461="—",$H461="")),1,0)</f>
        <v>0</v>
      </c>
      <c r="X461" s="186" t="n">
        <f aca="false">IF(AND(OR($F461="Analogy",$F461="Assumed"),$G461&lt;&gt;"低",$G461&lt;&gt;"高",NOT(ISNUMBER($K461)),NOT(ISNUMBER($L461)),OR($M461="—",$M461="")),1,0)</f>
        <v>0</v>
      </c>
      <c r="Y461" s="186" t="n">
        <f aca="false">IF(AND(OR($F461="Analogy",$F461="Assumed",$F461="Derived（待改公式）",$F461="Derived（公式）"),OR($N461="—",$N461="",$N461=0)),1,0)</f>
        <v>0</v>
      </c>
      <c r="Z461" s="186" t="n">
        <f aca="false">IF(AND($F461="Decision",OR($J461="—",$J461="")),1,0)</f>
        <v>0</v>
      </c>
      <c r="AA461" s="183" t="n">
        <f aca="false">IF(OR($J461="—",$J461=""),0,IF(COUNTIF(Decisions!$A$5:$A$300,$J461)=0,1,0))</f>
        <v>0</v>
      </c>
      <c r="AB461" s="186" t="n">
        <f aca="false">IF(AND($F461="原始數據",$S461&lt;&gt;"Active"),1,0)</f>
        <v>0</v>
      </c>
      <c r="AC461" s="186" t="n">
        <f aca="false">IF(AND(ISNUMBER($K461),ISNUMBER($L461),ISNUMBER($Q461)),IF(OR($Q461&lt;MIN($K461,$L461),$Q461&gt;MAX($K461,$L461)),1,0),0)</f>
        <v>0</v>
      </c>
      <c r="AD461" s="186" t="n">
        <f aca="false">IF(AND(ISNUMBER($T461),$P461="高"),IF($T461=3,1,0),0)</f>
        <v>0</v>
      </c>
      <c r="AE461" s="186" t="n">
        <f aca="false">IF($S461="不存在",1,0)</f>
        <v>0</v>
      </c>
      <c r="AF461" s="35" t="str">
        <f aca="false">IF(OR($H461="—",$H461=""),"—",MATCH($H461,IDX_SrcID,0))</f>
        <v>—</v>
      </c>
      <c r="AG461" s="104" t="n">
        <f aca="false">IF(AND($P461="高",OR($AD461=1,$X461=1)),1,0)</f>
        <v>0</v>
      </c>
      <c r="AH461" s="104" t="n">
        <f aca="false">IF(AND($P461="高",$AG461=0,OR($F461&lt;&gt;"原始數據",$T461&lt;&gt;1)),1,0)</f>
        <v>0</v>
      </c>
      <c r="AI461" s="53" t="str">
        <f aca="false">IF(AND($P461="高",ISNUMBER($AF461)),INDEX(IDX_SrcDate,$AF461),"—")</f>
        <v>—</v>
      </c>
      <c r="AJ461" s="104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6" t="s">
        <v>4305</v>
      </c>
      <c r="B462" s="215" t="s">
        <v>4244</v>
      </c>
      <c r="C462" s="36" t="s">
        <v>4245</v>
      </c>
      <c r="D462" s="36" t="s">
        <v>4306</v>
      </c>
      <c r="E462" s="19" t="s">
        <v>4307</v>
      </c>
      <c r="F462" s="36" t="s">
        <v>80</v>
      </c>
      <c r="G462" s="215" t="s">
        <v>3930</v>
      </c>
      <c r="H462" s="36" t="s">
        <v>587</v>
      </c>
      <c r="I462" s="6" t="s">
        <v>587</v>
      </c>
      <c r="J462" s="36" t="s">
        <v>3150</v>
      </c>
      <c r="K462" s="215"/>
      <c r="L462" s="215"/>
      <c r="M462" s="36" t="s">
        <v>4308</v>
      </c>
      <c r="N462" s="6" t="s">
        <v>4309</v>
      </c>
      <c r="O462" s="6" t="s">
        <v>587</v>
      </c>
      <c r="P462" s="215" t="s">
        <v>3188</v>
      </c>
      <c r="Q462" s="185" t="s">
        <v>587</v>
      </c>
      <c r="R462" s="36" t="s">
        <v>587</v>
      </c>
      <c r="S462" s="35" t="str">
        <f aca="false">IF(ISNUMBER($AF462),INDEX(IDX_SrcStat,$AF462),"—")</f>
        <v>—</v>
      </c>
      <c r="T462" s="35" t="str">
        <f aca="false">IF(ISNUMBER($AF462),INDEX(IDX_SrcGrade,$AF462),"—")</f>
        <v>—</v>
      </c>
      <c r="U462" s="36" t="s">
        <v>587</v>
      </c>
      <c r="V462" s="186" t="n">
        <f aca="false">IF(AND($F462="原始數據",$U462&lt;&gt;"連結 SRC"),1,0)</f>
        <v>0</v>
      </c>
      <c r="W462" s="186" t="n">
        <f aca="false">IF(AND($F462="Analogy",OR($H462="—",$H462="")),1,0)</f>
        <v>0</v>
      </c>
      <c r="X462" s="186" t="n">
        <f aca="false">IF(AND(OR($F462="Analogy",$F462="Assumed"),$G462&lt;&gt;"低",$G462&lt;&gt;"高",NOT(ISNUMBER($K462)),NOT(ISNUMBER($L462)),OR($M462="—",$M462="")),1,0)</f>
        <v>0</v>
      </c>
      <c r="Y462" s="186" t="n">
        <f aca="false">IF(AND(OR($F462="Analogy",$F462="Assumed",$F462="Derived（待改公式）",$F462="Derived（公式）"),OR($N462="—",$N462="",$N462=0)),1,0)</f>
        <v>0</v>
      </c>
      <c r="Z462" s="186" t="n">
        <f aca="false">IF(AND($F462="Decision",OR($J462="—",$J462="")),1,0)</f>
        <v>0</v>
      </c>
      <c r="AA462" s="183" t="n">
        <f aca="false">IF(OR($J462="—",$J462=""),0,IF(COUNTIF(Decisions!$A$5:$A$300,$J462)=0,1,0))</f>
        <v>0</v>
      </c>
      <c r="AB462" s="186" t="n">
        <f aca="false">IF(AND($F462="原始數據",$S462&lt;&gt;"Active"),1,0)</f>
        <v>0</v>
      </c>
      <c r="AC462" s="186" t="n">
        <f aca="false">IF(AND(ISNUMBER($K462),ISNUMBER($L462),ISNUMBER($Q462)),IF(OR($Q462&lt;MIN($K462,$L462),$Q462&gt;MAX($K462,$L462)),1,0),0)</f>
        <v>0</v>
      </c>
      <c r="AD462" s="186" t="n">
        <f aca="false">IF(AND(ISNUMBER($T462),$P462="高"),IF($T462=3,1,0),0)</f>
        <v>0</v>
      </c>
      <c r="AE462" s="186" t="n">
        <f aca="false">IF($S462="不存在",1,0)</f>
        <v>0</v>
      </c>
      <c r="AF462" s="35" t="str">
        <f aca="false">IF(OR($H462="—",$H462=""),"—",MATCH($H462,IDX_SrcID,0))</f>
        <v>—</v>
      </c>
      <c r="AG462" s="104" t="n">
        <f aca="false">IF(AND($P462="高",OR($AD462=1,$X462=1)),1,0)</f>
        <v>0</v>
      </c>
      <c r="AH462" s="104" t="n">
        <f aca="false">IF(AND($P462="高",$AG462=0,OR($F462&lt;&gt;"原始數據",$T462&lt;&gt;1)),1,0)</f>
        <v>0</v>
      </c>
      <c r="AI462" s="53" t="str">
        <f aca="false">IF(AND($P462="高",ISNUMBER($AF462)),INDEX(IDX_SrcDate,$AF462),"—")</f>
        <v>—</v>
      </c>
      <c r="AJ462" s="104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6" t="s">
        <v>4310</v>
      </c>
      <c r="B463" s="215" t="s">
        <v>4244</v>
      </c>
      <c r="C463" s="36" t="s">
        <v>4245</v>
      </c>
      <c r="D463" s="36" t="s">
        <v>4311</v>
      </c>
      <c r="E463" s="19" t="s">
        <v>4312</v>
      </c>
      <c r="F463" s="36" t="s">
        <v>80</v>
      </c>
      <c r="G463" s="215" t="s">
        <v>65</v>
      </c>
      <c r="H463" s="36" t="s">
        <v>587</v>
      </c>
      <c r="I463" s="6" t="s">
        <v>587</v>
      </c>
      <c r="J463" s="36" t="s">
        <v>4313</v>
      </c>
      <c r="K463" s="183" t="n">
        <f aca="false">Cap_In!D36</f>
        <v>1</v>
      </c>
      <c r="L463" s="183" t="n">
        <f aca="false">Cap_In!E36</f>
        <v>3</v>
      </c>
      <c r="M463" s="36" t="s">
        <v>587</v>
      </c>
      <c r="N463" s="6" t="s">
        <v>4314</v>
      </c>
      <c r="O463" s="6" t="s">
        <v>587</v>
      </c>
      <c r="P463" s="215" t="s">
        <v>1116</v>
      </c>
      <c r="Q463" s="183" t="n">
        <f aca="false">Cap_In!C36</f>
        <v>2</v>
      </c>
      <c r="R463" s="36" t="s">
        <v>587</v>
      </c>
      <c r="S463" s="35" t="str">
        <f aca="false">IF(ISNUMBER($AF463),INDEX(IDX_SrcStat,$AF463),"—")</f>
        <v>—</v>
      </c>
      <c r="T463" s="35" t="str">
        <f aca="false">IF(ISNUMBER($AF463),INDEX(IDX_SrcGrade,$AF463),"—")</f>
        <v>—</v>
      </c>
      <c r="U463" s="35" t="s">
        <v>3189</v>
      </c>
      <c r="V463" s="186" t="n">
        <f aca="false">IF(AND($F463="原始數據",$U463&lt;&gt;"連結 SRC"),1,0)</f>
        <v>0</v>
      </c>
      <c r="W463" s="186" t="n">
        <f aca="false">IF(AND($F463="Analogy",OR($H463="—",$H463="")),1,0)</f>
        <v>0</v>
      </c>
      <c r="X463" s="186" t="n">
        <f aca="false">IF(AND(OR($F463="Analogy",$F463="Assumed"),$G463&lt;&gt;"低",$G463&lt;&gt;"高",NOT(ISNUMBER($K463)),NOT(ISNUMBER($L463)),OR($M463="—",$M463="")),1,0)</f>
        <v>0</v>
      </c>
      <c r="Y463" s="186" t="n">
        <f aca="false">IF(AND(OR($F463="Analogy",$F463="Assumed",$F463="Derived（待改公式）",$F463="Derived（公式）"),OR($N463="—",$N463="",$N463=0)),1,0)</f>
        <v>0</v>
      </c>
      <c r="Z463" s="186" t="n">
        <f aca="false">IF(AND($F463="Decision",OR($J463="—",$J463="")),1,0)</f>
        <v>0</v>
      </c>
      <c r="AA463" s="183" t="n">
        <f aca="false">IF(OR($J463="—",$J463=""),0,IF(COUNTIF(Decisions!$A$5:$A$300,$J463)=0,1,0))</f>
        <v>0</v>
      </c>
      <c r="AB463" s="186" t="n">
        <f aca="false">IF(AND($F463="原始數據",$S463&lt;&gt;"Active"),1,0)</f>
        <v>0</v>
      </c>
      <c r="AC463" s="186" t="n">
        <f aca="false">IF(AND(ISNUMBER($K463),ISNUMBER($L463),ISNUMBER($Q463)),IF(OR($Q463&lt;MIN($K463,$L463),$Q463&gt;MAX($K463,$L463)),1,0),0)</f>
        <v>0</v>
      </c>
      <c r="AD463" s="186" t="n">
        <f aca="false">IF(AND(ISNUMBER($T463),$P463="高"),IF($T463=3,1,0),0)</f>
        <v>0</v>
      </c>
      <c r="AE463" s="186" t="n">
        <f aca="false">IF($S463="不存在",1,0)</f>
        <v>0</v>
      </c>
      <c r="AF463" s="35" t="str">
        <f aca="false">IF(OR($H463="—",$H463=""),"—",MATCH($H463,IDX_SrcID,0))</f>
        <v>—</v>
      </c>
      <c r="AG463" s="104" t="n">
        <f aca="false">IF(AND($P463="高",OR($AD463=1,$X463=1)),1,0)</f>
        <v>0</v>
      </c>
      <c r="AH463" s="104" t="n">
        <f aca="false">IF(AND($P463="高",$AG463=0,OR($F463&lt;&gt;"原始數據",$T463&lt;&gt;1)),1,0)</f>
        <v>1</v>
      </c>
      <c r="AI463" s="53" t="str">
        <f aca="false">IF(AND($P463="高",ISNUMBER($AF463)),INDEX(IDX_SrcDate,$AF463),"—")</f>
        <v>—</v>
      </c>
      <c r="AJ463" s="104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6" t="s">
        <v>4315</v>
      </c>
      <c r="B464" s="215" t="s">
        <v>4244</v>
      </c>
      <c r="C464" s="36" t="s">
        <v>4245</v>
      </c>
      <c r="D464" s="36" t="s">
        <v>4316</v>
      </c>
      <c r="E464" s="19" t="s">
        <v>4312</v>
      </c>
      <c r="F464" s="36" t="s">
        <v>80</v>
      </c>
      <c r="G464" s="215" t="s">
        <v>4250</v>
      </c>
      <c r="H464" s="36" t="s">
        <v>587</v>
      </c>
      <c r="I464" s="6" t="s">
        <v>587</v>
      </c>
      <c r="J464" s="36" t="s">
        <v>4313</v>
      </c>
      <c r="K464" s="215"/>
      <c r="L464" s="215"/>
      <c r="M464" s="36" t="s">
        <v>4317</v>
      </c>
      <c r="N464" s="6" t="s">
        <v>4318</v>
      </c>
      <c r="O464" s="6" t="s">
        <v>587</v>
      </c>
      <c r="P464" s="215" t="s">
        <v>3188</v>
      </c>
      <c r="Q464" s="185" t="s">
        <v>587</v>
      </c>
      <c r="R464" s="36" t="s">
        <v>587</v>
      </c>
      <c r="S464" s="35" t="str">
        <f aca="false">IF(ISNUMBER($AF464),INDEX(IDX_SrcStat,$AF464),"—")</f>
        <v>—</v>
      </c>
      <c r="T464" s="35" t="str">
        <f aca="false">IF(ISNUMBER($AF464),INDEX(IDX_SrcGrade,$AF464),"—")</f>
        <v>—</v>
      </c>
      <c r="U464" s="36" t="s">
        <v>587</v>
      </c>
      <c r="V464" s="186" t="n">
        <f aca="false">IF(AND($F464="原始數據",$U464&lt;&gt;"連結 SRC"),1,0)</f>
        <v>0</v>
      </c>
      <c r="W464" s="186" t="n">
        <f aca="false">IF(AND($F464="Analogy",OR($H464="—",$H464="")),1,0)</f>
        <v>0</v>
      </c>
      <c r="X464" s="186" t="n">
        <f aca="false">IF(AND(OR($F464="Analogy",$F464="Assumed"),$G464&lt;&gt;"低",$G464&lt;&gt;"高",NOT(ISNUMBER($K464)),NOT(ISNUMBER($L464)),OR($M464="—",$M464="")),1,0)</f>
        <v>0</v>
      </c>
      <c r="Y464" s="186" t="n">
        <f aca="false">IF(AND(OR($F464="Analogy",$F464="Assumed",$F464="Derived（待改公式）",$F464="Derived（公式）"),OR($N464="—",$N464="",$N464=0)),1,0)</f>
        <v>0</v>
      </c>
      <c r="Z464" s="186" t="n">
        <f aca="false">IF(AND($F464="Decision",OR($J464="—",$J464="")),1,0)</f>
        <v>0</v>
      </c>
      <c r="AA464" s="183" t="n">
        <f aca="false">IF(OR($J464="—",$J464=""),0,IF(COUNTIF(Decisions!$A$5:$A$300,$J464)=0,1,0))</f>
        <v>0</v>
      </c>
      <c r="AB464" s="186" t="n">
        <f aca="false">IF(AND($F464="原始數據",$S464&lt;&gt;"Active"),1,0)</f>
        <v>0</v>
      </c>
      <c r="AC464" s="186" t="n">
        <f aca="false">IF(AND(ISNUMBER($K464),ISNUMBER($L464),ISNUMBER($Q464)),IF(OR($Q464&lt;MIN($K464,$L464),$Q464&gt;MAX($K464,$L464)),1,0),0)</f>
        <v>0</v>
      </c>
      <c r="AD464" s="186" t="n">
        <f aca="false">IF(AND(ISNUMBER($T464),$P464="高"),IF($T464=3,1,0),0)</f>
        <v>0</v>
      </c>
      <c r="AE464" s="186" t="n">
        <f aca="false">IF($S464="不存在",1,0)</f>
        <v>0</v>
      </c>
      <c r="AF464" s="35" t="str">
        <f aca="false">IF(OR($H464="—",$H464=""),"—",MATCH($H464,IDX_SrcID,0))</f>
        <v>—</v>
      </c>
      <c r="AG464" s="104" t="n">
        <f aca="false">IF(AND($P464="高",OR($AD464=1,$X464=1)),1,0)</f>
        <v>0</v>
      </c>
      <c r="AH464" s="104" t="n">
        <f aca="false">IF(AND($P464="高",$AG464=0,OR($F464&lt;&gt;"原始數據",$T464&lt;&gt;1)),1,0)</f>
        <v>0</v>
      </c>
      <c r="AI464" s="53" t="str">
        <f aca="false">IF(AND($P464="高",ISNUMBER($AF464)),INDEX(IDX_SrcDate,$AF464),"—")</f>
        <v>—</v>
      </c>
      <c r="AJ464" s="104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6" t="s">
        <v>4319</v>
      </c>
      <c r="B465" s="215" t="s">
        <v>4244</v>
      </c>
      <c r="C465" s="36" t="s">
        <v>4245</v>
      </c>
      <c r="D465" s="36" t="s">
        <v>4320</v>
      </c>
      <c r="E465" s="19" t="s">
        <v>1151</v>
      </c>
      <c r="F465" s="36" t="s">
        <v>80</v>
      </c>
      <c r="G465" s="215" t="s">
        <v>65</v>
      </c>
      <c r="H465" s="36" t="s">
        <v>587</v>
      </c>
      <c r="I465" s="6" t="s">
        <v>587</v>
      </c>
      <c r="J465" s="36" t="s">
        <v>4313</v>
      </c>
      <c r="K465" s="200" t="n">
        <f aca="false">Cap_In!D37</f>
        <v>0.0833333333333333</v>
      </c>
      <c r="L465" s="200" t="n">
        <f aca="false">Cap_In!E37</f>
        <v>1</v>
      </c>
      <c r="M465" s="36" t="s">
        <v>587</v>
      </c>
      <c r="N465" s="6" t="s">
        <v>4321</v>
      </c>
      <c r="O465" s="6" t="s">
        <v>4322</v>
      </c>
      <c r="P465" s="215" t="s">
        <v>1115</v>
      </c>
      <c r="Q465" s="200" t="n">
        <f aca="false">Cap_In!C37</f>
        <v>0.0833333333333333</v>
      </c>
      <c r="R465" s="36" t="s">
        <v>587</v>
      </c>
      <c r="S465" s="35" t="str">
        <f aca="false">IF(ISNUMBER($AF465),INDEX(IDX_SrcStat,$AF465),"—")</f>
        <v>—</v>
      </c>
      <c r="T465" s="35" t="str">
        <f aca="false">IF(ISNUMBER($AF465),INDEX(IDX_SrcGrade,$AF465),"—")</f>
        <v>—</v>
      </c>
      <c r="U465" s="35" t="s">
        <v>3189</v>
      </c>
      <c r="V465" s="186" t="n">
        <f aca="false">IF(AND($F465="原始數據",$U465&lt;&gt;"連結 SRC"),1,0)</f>
        <v>0</v>
      </c>
      <c r="W465" s="186" t="n">
        <f aca="false">IF(AND($F465="Analogy",OR($H465="—",$H465="")),1,0)</f>
        <v>0</v>
      </c>
      <c r="X465" s="186" t="n">
        <f aca="false">IF(AND(OR($F465="Analogy",$F465="Assumed"),$G465&lt;&gt;"低",$G465&lt;&gt;"高",NOT(ISNUMBER($K465)),NOT(ISNUMBER($L465)),OR($M465="—",$M465="")),1,0)</f>
        <v>0</v>
      </c>
      <c r="Y465" s="186" t="n">
        <f aca="false">IF(AND(OR($F465="Analogy",$F465="Assumed",$F465="Derived（待改公式）",$F465="Derived（公式）"),OR($N465="—",$N465="",$N465=0)),1,0)</f>
        <v>0</v>
      </c>
      <c r="Z465" s="186" t="n">
        <f aca="false">IF(AND($F465="Decision",OR($J465="—",$J465="")),1,0)</f>
        <v>0</v>
      </c>
      <c r="AA465" s="183" t="n">
        <f aca="false">IF(OR($J465="—",$J465=""),0,IF(COUNTIF(Decisions!$A$5:$A$300,$J465)=0,1,0))</f>
        <v>0</v>
      </c>
      <c r="AB465" s="186" t="n">
        <f aca="false">IF(AND($F465="原始數據",$S465&lt;&gt;"Active"),1,0)</f>
        <v>0</v>
      </c>
      <c r="AC465" s="186" t="n">
        <f aca="false">IF(AND(ISNUMBER($K465),ISNUMBER($L465),ISNUMBER($Q465)),IF(OR($Q465&lt;MIN($K465,$L465),$Q465&gt;MAX($K465,$L465)),1,0),0)</f>
        <v>0</v>
      </c>
      <c r="AD465" s="186" t="n">
        <f aca="false">IF(AND(ISNUMBER($T465),$P465="高"),IF($T465=3,1,0),0)</f>
        <v>0</v>
      </c>
      <c r="AE465" s="186" t="n">
        <f aca="false">IF($S465="不存在",1,0)</f>
        <v>0</v>
      </c>
      <c r="AF465" s="35" t="str">
        <f aca="false">IF(OR($H465="—",$H465=""),"—",MATCH($H465,IDX_SrcID,0))</f>
        <v>—</v>
      </c>
      <c r="AG465" s="104" t="n">
        <f aca="false">IF(AND($P465="高",OR($AD465=1,$X465=1)),1,0)</f>
        <v>0</v>
      </c>
      <c r="AH465" s="104" t="n">
        <f aca="false">IF(AND($P465="高",$AG465=0,OR($F465&lt;&gt;"原始數據",$T465&lt;&gt;1)),1,0)</f>
        <v>0</v>
      </c>
      <c r="AI465" s="53" t="str">
        <f aca="false">IF(AND($P465="高",ISNUMBER($AF465)),INDEX(IDX_SrcDate,$AF465),"—")</f>
        <v>—</v>
      </c>
      <c r="AJ465" s="104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6" t="s">
        <v>4323</v>
      </c>
      <c r="B466" s="215" t="s">
        <v>4244</v>
      </c>
      <c r="C466" s="36" t="s">
        <v>4245</v>
      </c>
      <c r="D466" s="36" t="s">
        <v>4324</v>
      </c>
      <c r="E466" s="19" t="s">
        <v>1151</v>
      </c>
      <c r="F466" s="36" t="s">
        <v>80</v>
      </c>
      <c r="G466" s="215" t="s">
        <v>4250</v>
      </c>
      <c r="H466" s="36" t="s">
        <v>587</v>
      </c>
      <c r="I466" s="6" t="s">
        <v>587</v>
      </c>
      <c r="J466" s="36" t="s">
        <v>4313</v>
      </c>
      <c r="K466" s="215"/>
      <c r="L466" s="215"/>
      <c r="M466" s="36" t="s">
        <v>4325</v>
      </c>
      <c r="N466" s="6" t="s">
        <v>4326</v>
      </c>
      <c r="O466" s="6" t="s">
        <v>587</v>
      </c>
      <c r="P466" s="215" t="s">
        <v>1115</v>
      </c>
      <c r="Q466" s="185" t="s">
        <v>587</v>
      </c>
      <c r="R466" s="36" t="s">
        <v>587</v>
      </c>
      <c r="S466" s="35" t="str">
        <f aca="false">IF(ISNUMBER($AF466),INDEX(IDX_SrcStat,$AF466),"—")</f>
        <v>—</v>
      </c>
      <c r="T466" s="35" t="str">
        <f aca="false">IF(ISNUMBER($AF466),INDEX(IDX_SrcGrade,$AF466),"—")</f>
        <v>—</v>
      </c>
      <c r="U466" s="36" t="s">
        <v>587</v>
      </c>
      <c r="V466" s="186" t="n">
        <f aca="false">IF(AND($F466="原始數據",$U466&lt;&gt;"連結 SRC"),1,0)</f>
        <v>0</v>
      </c>
      <c r="W466" s="186" t="n">
        <f aca="false">IF(AND($F466="Analogy",OR($H466="—",$H466="")),1,0)</f>
        <v>0</v>
      </c>
      <c r="X466" s="186" t="n">
        <f aca="false">IF(AND(OR($F466="Analogy",$F466="Assumed"),$G466&lt;&gt;"低",$G466&lt;&gt;"高",NOT(ISNUMBER($K466)),NOT(ISNUMBER($L466)),OR($M466="—",$M466="")),1,0)</f>
        <v>0</v>
      </c>
      <c r="Y466" s="186" t="n">
        <f aca="false">IF(AND(OR($F466="Analogy",$F466="Assumed",$F466="Derived（待改公式）",$F466="Derived（公式）"),OR($N466="—",$N466="",$N466=0)),1,0)</f>
        <v>0</v>
      </c>
      <c r="Z466" s="186" t="n">
        <f aca="false">IF(AND($F466="Decision",OR($J466="—",$J466="")),1,0)</f>
        <v>0</v>
      </c>
      <c r="AA466" s="183" t="n">
        <f aca="false">IF(OR($J466="—",$J466=""),0,IF(COUNTIF(Decisions!$A$5:$A$300,$J466)=0,1,0))</f>
        <v>0</v>
      </c>
      <c r="AB466" s="186" t="n">
        <f aca="false">IF(AND($F466="原始數據",$S466&lt;&gt;"Active"),1,0)</f>
        <v>0</v>
      </c>
      <c r="AC466" s="186" t="n">
        <f aca="false">IF(AND(ISNUMBER($K466),ISNUMBER($L466),ISNUMBER($Q466)),IF(OR($Q466&lt;MIN($K466,$L466),$Q466&gt;MAX($K466,$L466)),1,0),0)</f>
        <v>0</v>
      </c>
      <c r="AD466" s="186" t="n">
        <f aca="false">IF(AND(ISNUMBER($T466),$P466="高"),IF($T466=3,1,0),0)</f>
        <v>0</v>
      </c>
      <c r="AE466" s="186" t="n">
        <f aca="false">IF($S466="不存在",1,0)</f>
        <v>0</v>
      </c>
      <c r="AF466" s="35" t="str">
        <f aca="false">IF(OR($H466="—",$H466=""),"—",MATCH($H466,IDX_SrcID,0))</f>
        <v>—</v>
      </c>
      <c r="AG466" s="104" t="n">
        <f aca="false">IF(AND($P466="高",OR($AD466=1,$X466=1)),1,0)</f>
        <v>0</v>
      </c>
      <c r="AH466" s="104" t="n">
        <f aca="false">IF(AND($P466="高",$AG466=0,OR($F466&lt;&gt;"原始數據",$T466&lt;&gt;1)),1,0)</f>
        <v>0</v>
      </c>
      <c r="AI466" s="53" t="str">
        <f aca="false">IF(AND($P466="高",ISNUMBER($AF466)),INDEX(IDX_SrcDate,$AF466),"—")</f>
        <v>—</v>
      </c>
      <c r="AJ466" s="104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6" t="s">
        <v>4327</v>
      </c>
      <c r="B467" s="215" t="s">
        <v>4244</v>
      </c>
      <c r="C467" s="36" t="s">
        <v>4245</v>
      </c>
      <c r="D467" s="36" t="s">
        <v>4328</v>
      </c>
      <c r="E467" s="19" t="s">
        <v>1153</v>
      </c>
      <c r="F467" s="36" t="s">
        <v>80</v>
      </c>
      <c r="G467" s="215" t="s">
        <v>65</v>
      </c>
      <c r="H467" s="36" t="s">
        <v>587</v>
      </c>
      <c r="I467" s="6" t="s">
        <v>587</v>
      </c>
      <c r="J467" s="36" t="s">
        <v>4313</v>
      </c>
      <c r="K467" s="183" t="n">
        <f aca="false">Cap_In!D38</f>
        <v>1</v>
      </c>
      <c r="L467" s="183" t="n">
        <f aca="false">Cap_In!E38</f>
        <v>20</v>
      </c>
      <c r="M467" s="36" t="s">
        <v>587</v>
      </c>
      <c r="N467" s="6" t="s">
        <v>4329</v>
      </c>
      <c r="O467" s="6" t="s">
        <v>587</v>
      </c>
      <c r="P467" s="215" t="s">
        <v>1115</v>
      </c>
      <c r="Q467" s="183" t="n">
        <f aca="false">Cap_In!C38</f>
        <v>5</v>
      </c>
      <c r="R467" s="36" t="s">
        <v>587</v>
      </c>
      <c r="S467" s="35" t="str">
        <f aca="false">IF(ISNUMBER($AF467),INDEX(IDX_SrcStat,$AF467),"—")</f>
        <v>—</v>
      </c>
      <c r="T467" s="35" t="str">
        <f aca="false">IF(ISNUMBER($AF467),INDEX(IDX_SrcGrade,$AF467),"—")</f>
        <v>—</v>
      </c>
      <c r="U467" s="35" t="s">
        <v>3189</v>
      </c>
      <c r="V467" s="186" t="n">
        <f aca="false">IF(AND($F467="原始數據",$U467&lt;&gt;"連結 SRC"),1,0)</f>
        <v>0</v>
      </c>
      <c r="W467" s="186" t="n">
        <f aca="false">IF(AND($F467="Analogy",OR($H467="—",$H467="")),1,0)</f>
        <v>0</v>
      </c>
      <c r="X467" s="186" t="n">
        <f aca="false">IF(AND(OR($F467="Analogy",$F467="Assumed"),$G467&lt;&gt;"低",$G467&lt;&gt;"高",NOT(ISNUMBER($K467)),NOT(ISNUMBER($L467)),OR($M467="—",$M467="")),1,0)</f>
        <v>0</v>
      </c>
      <c r="Y467" s="186" t="n">
        <f aca="false">IF(AND(OR($F467="Analogy",$F467="Assumed",$F467="Derived（待改公式）",$F467="Derived（公式）"),OR($N467="—",$N467="",$N467=0)),1,0)</f>
        <v>0</v>
      </c>
      <c r="Z467" s="186" t="n">
        <f aca="false">IF(AND($F467="Decision",OR($J467="—",$J467="")),1,0)</f>
        <v>0</v>
      </c>
      <c r="AA467" s="183" t="n">
        <f aca="false">IF(OR($J467="—",$J467=""),0,IF(COUNTIF(Decisions!$A$5:$A$300,$J467)=0,1,0))</f>
        <v>0</v>
      </c>
      <c r="AB467" s="186" t="n">
        <f aca="false">IF(AND($F467="原始數據",$S467&lt;&gt;"Active"),1,0)</f>
        <v>0</v>
      </c>
      <c r="AC467" s="186" t="n">
        <f aca="false">IF(AND(ISNUMBER($K467),ISNUMBER($L467),ISNUMBER($Q467)),IF(OR($Q467&lt;MIN($K467,$L467),$Q467&gt;MAX($K467,$L467)),1,0),0)</f>
        <v>0</v>
      </c>
      <c r="AD467" s="186" t="n">
        <f aca="false">IF(AND(ISNUMBER($T467),$P467="高"),IF($T467=3,1,0),0)</f>
        <v>0</v>
      </c>
      <c r="AE467" s="186" t="n">
        <f aca="false">IF($S467="不存在",1,0)</f>
        <v>0</v>
      </c>
      <c r="AF467" s="35" t="str">
        <f aca="false">IF(OR($H467="—",$H467=""),"—",MATCH($H467,IDX_SrcID,0))</f>
        <v>—</v>
      </c>
      <c r="AG467" s="104" t="n">
        <f aca="false">IF(AND($P467="高",OR($AD467=1,$X467=1)),1,0)</f>
        <v>0</v>
      </c>
      <c r="AH467" s="104" t="n">
        <f aca="false">IF(AND($P467="高",$AG467=0,OR($F467&lt;&gt;"原始數據",$T467&lt;&gt;1)),1,0)</f>
        <v>0</v>
      </c>
      <c r="AI467" s="53" t="str">
        <f aca="false">IF(AND($P467="高",ISNUMBER($AF467)),INDEX(IDX_SrcDate,$AF467),"—")</f>
        <v>—</v>
      </c>
      <c r="AJ467" s="104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6" t="s">
        <v>4330</v>
      </c>
      <c r="B468" s="215" t="s">
        <v>4244</v>
      </c>
      <c r="C468" s="36" t="s">
        <v>4245</v>
      </c>
      <c r="D468" s="36" t="s">
        <v>4331</v>
      </c>
      <c r="E468" s="19" t="s">
        <v>1153</v>
      </c>
      <c r="F468" s="36" t="s">
        <v>80</v>
      </c>
      <c r="G468" s="215" t="s">
        <v>4250</v>
      </c>
      <c r="H468" s="36" t="s">
        <v>587</v>
      </c>
      <c r="I468" s="6" t="s">
        <v>587</v>
      </c>
      <c r="J468" s="36" t="s">
        <v>4313</v>
      </c>
      <c r="K468" s="215"/>
      <c r="L468" s="215"/>
      <c r="M468" s="36" t="s">
        <v>4332</v>
      </c>
      <c r="N468" s="6" t="s">
        <v>4333</v>
      </c>
      <c r="O468" s="6" t="s">
        <v>587</v>
      </c>
      <c r="P468" s="215" t="s">
        <v>1115</v>
      </c>
      <c r="Q468" s="185" t="s">
        <v>587</v>
      </c>
      <c r="R468" s="36" t="s">
        <v>587</v>
      </c>
      <c r="S468" s="35" t="str">
        <f aca="false">IF(ISNUMBER($AF468),INDEX(IDX_SrcStat,$AF468),"—")</f>
        <v>—</v>
      </c>
      <c r="T468" s="35" t="str">
        <f aca="false">IF(ISNUMBER($AF468),INDEX(IDX_SrcGrade,$AF468),"—")</f>
        <v>—</v>
      </c>
      <c r="U468" s="36" t="s">
        <v>587</v>
      </c>
      <c r="V468" s="186" t="n">
        <f aca="false">IF(AND($F468="原始數據",$U468&lt;&gt;"連結 SRC"),1,0)</f>
        <v>0</v>
      </c>
      <c r="W468" s="186" t="n">
        <f aca="false">IF(AND($F468="Analogy",OR($H468="—",$H468="")),1,0)</f>
        <v>0</v>
      </c>
      <c r="X468" s="186" t="n">
        <f aca="false">IF(AND(OR($F468="Analogy",$F468="Assumed"),$G468&lt;&gt;"低",$G468&lt;&gt;"高",NOT(ISNUMBER($K468)),NOT(ISNUMBER($L468)),OR($M468="—",$M468="")),1,0)</f>
        <v>0</v>
      </c>
      <c r="Y468" s="186" t="n">
        <f aca="false">IF(AND(OR($F468="Analogy",$F468="Assumed",$F468="Derived（待改公式）",$F468="Derived（公式）"),OR($N468="—",$N468="",$N468=0)),1,0)</f>
        <v>0</v>
      </c>
      <c r="Z468" s="186" t="n">
        <f aca="false">IF(AND($F468="Decision",OR($J468="—",$J468="")),1,0)</f>
        <v>0</v>
      </c>
      <c r="AA468" s="183" t="n">
        <f aca="false">IF(OR($J468="—",$J468=""),0,IF(COUNTIF(Decisions!$A$5:$A$300,$J468)=0,1,0))</f>
        <v>0</v>
      </c>
      <c r="AB468" s="186" t="n">
        <f aca="false">IF(AND($F468="原始數據",$S468&lt;&gt;"Active"),1,0)</f>
        <v>0</v>
      </c>
      <c r="AC468" s="186" t="n">
        <f aca="false">IF(AND(ISNUMBER($K468),ISNUMBER($L468),ISNUMBER($Q468)),IF(OR($Q468&lt;MIN($K468,$L468),$Q468&gt;MAX($K468,$L468)),1,0),0)</f>
        <v>0</v>
      </c>
      <c r="AD468" s="186" t="n">
        <f aca="false">IF(AND(ISNUMBER($T468),$P468="高"),IF($T468=3,1,0),0)</f>
        <v>0</v>
      </c>
      <c r="AE468" s="186" t="n">
        <f aca="false">IF($S468="不存在",1,0)</f>
        <v>0</v>
      </c>
      <c r="AF468" s="35" t="str">
        <f aca="false">IF(OR($H468="—",$H468=""),"—",MATCH($H468,IDX_SrcID,0))</f>
        <v>—</v>
      </c>
      <c r="AG468" s="104" t="n">
        <f aca="false">IF(AND($P468="高",OR($AD468=1,$X468=1)),1,0)</f>
        <v>0</v>
      </c>
      <c r="AH468" s="104" t="n">
        <f aca="false">IF(AND($P468="高",$AG468=0,OR($F468&lt;&gt;"原始數據",$T468&lt;&gt;1)),1,0)</f>
        <v>0</v>
      </c>
      <c r="AI468" s="53" t="str">
        <f aca="false">IF(AND($P468="高",ISNUMBER($AF468)),INDEX(IDX_SrcDate,$AF468),"—")</f>
        <v>—</v>
      </c>
      <c r="AJ468" s="104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6" t="s">
        <v>4334</v>
      </c>
      <c r="B469" s="215" t="s">
        <v>4244</v>
      </c>
      <c r="C469" s="36" t="s">
        <v>4245</v>
      </c>
      <c r="D469" s="36" t="s">
        <v>3619</v>
      </c>
      <c r="E469" s="6" t="s">
        <v>1156</v>
      </c>
      <c r="F469" s="36" t="s">
        <v>80</v>
      </c>
      <c r="G469" s="215" t="s">
        <v>65</v>
      </c>
      <c r="H469" s="36" t="s">
        <v>587</v>
      </c>
      <c r="I469" s="6" t="s">
        <v>587</v>
      </c>
      <c r="J469" s="36" t="s">
        <v>587</v>
      </c>
      <c r="K469" s="175" t="n">
        <f aca="false">Cap_In!D39</f>
        <v>5</v>
      </c>
      <c r="L469" s="175" t="n">
        <f aca="false">Cap_In!E39</f>
        <v>20</v>
      </c>
      <c r="M469" s="36" t="s">
        <v>587</v>
      </c>
      <c r="N469" s="6" t="s">
        <v>4335</v>
      </c>
      <c r="O469" s="6" t="s">
        <v>587</v>
      </c>
      <c r="P469" s="215" t="s">
        <v>1115</v>
      </c>
      <c r="Q469" s="175" t="n">
        <f aca="false">Cap_In!C39</f>
        <v>10</v>
      </c>
      <c r="R469" s="36" t="s">
        <v>587</v>
      </c>
      <c r="S469" s="35" t="str">
        <f aca="false">IF(ISNUMBER($AF469),INDEX(IDX_SrcStat,$AF469),"—")</f>
        <v>—</v>
      </c>
      <c r="T469" s="35" t="str">
        <f aca="false">IF(ISNUMBER($AF469),INDEX(IDX_SrcGrade,$AF469),"—")</f>
        <v>—</v>
      </c>
      <c r="U469" s="35" t="s">
        <v>3189</v>
      </c>
      <c r="V469" s="186" t="n">
        <f aca="false">IF(AND($F469="原始數據",$U469&lt;&gt;"連結 SRC"),1,0)</f>
        <v>0</v>
      </c>
      <c r="W469" s="186" t="n">
        <f aca="false">IF(AND($F469="Analogy",OR($H469="—",$H469="")),1,0)</f>
        <v>0</v>
      </c>
      <c r="X469" s="186" t="n">
        <f aca="false">IF(AND(OR($F469="Analogy",$F469="Assumed"),$G469&lt;&gt;"低",$G469&lt;&gt;"高",NOT(ISNUMBER($K469)),NOT(ISNUMBER($L469)),OR($M469="—",$M469="")),1,0)</f>
        <v>0</v>
      </c>
      <c r="Y469" s="186" t="n">
        <f aca="false">IF(AND(OR($F469="Analogy",$F469="Assumed",$F469="Derived（待改公式）",$F469="Derived（公式）"),OR($N469="—",$N469="",$N469=0)),1,0)</f>
        <v>0</v>
      </c>
      <c r="Z469" s="186" t="n">
        <f aca="false">IF(AND($F469="Decision",OR($J469="—",$J469="")),1,0)</f>
        <v>0</v>
      </c>
      <c r="AA469" s="183" t="n">
        <f aca="false">IF(OR($J469="—",$J469=""),0,IF(COUNTIF(Decisions!$A$5:$A$300,$J469)=0,1,0))</f>
        <v>0</v>
      </c>
      <c r="AB469" s="186" t="n">
        <f aca="false">IF(AND($F469="原始數據",$S469&lt;&gt;"Active"),1,0)</f>
        <v>0</v>
      </c>
      <c r="AC469" s="186" t="n">
        <f aca="false">IF(AND(ISNUMBER($K469),ISNUMBER($L469),ISNUMBER($Q469)),IF(OR($Q469&lt;MIN($K469,$L469),$Q469&gt;MAX($K469,$L469)),1,0),0)</f>
        <v>0</v>
      </c>
      <c r="AD469" s="186" t="n">
        <f aca="false">IF(AND(ISNUMBER($T469),$P469="高"),IF($T469=3,1,0),0)</f>
        <v>0</v>
      </c>
      <c r="AE469" s="186" t="n">
        <f aca="false">IF($S469="不存在",1,0)</f>
        <v>0</v>
      </c>
      <c r="AF469" s="35" t="str">
        <f aca="false">IF(OR($H469="—",$H469=""),"—",MATCH($H469,IDX_SrcID,0))</f>
        <v>—</v>
      </c>
      <c r="AG469" s="104" t="n">
        <f aca="false">IF(AND($P469="高",OR($AD469=1,$X469=1)),1,0)</f>
        <v>0</v>
      </c>
      <c r="AH469" s="104" t="n">
        <f aca="false">IF(AND($P469="高",$AG469=0,OR($F469&lt;&gt;"原始數據",$T469&lt;&gt;1)),1,0)</f>
        <v>0</v>
      </c>
      <c r="AI469" s="53" t="str">
        <f aca="false">IF(AND($P469="高",ISNUMBER($AF469)),INDEX(IDX_SrcDate,$AF469),"—")</f>
        <v>—</v>
      </c>
      <c r="AJ469" s="104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6" t="s">
        <v>4336</v>
      </c>
      <c r="B470" s="215" t="s">
        <v>4244</v>
      </c>
      <c r="C470" s="36" t="s">
        <v>4245</v>
      </c>
      <c r="D470" s="36" t="s">
        <v>4337</v>
      </c>
      <c r="E470" s="6" t="s">
        <v>1156</v>
      </c>
      <c r="F470" s="36" t="s">
        <v>80</v>
      </c>
      <c r="G470" s="215" t="s">
        <v>4250</v>
      </c>
      <c r="H470" s="36" t="s">
        <v>587</v>
      </c>
      <c r="I470" s="6" t="s">
        <v>587</v>
      </c>
      <c r="J470" s="36" t="s">
        <v>587</v>
      </c>
      <c r="K470" s="215"/>
      <c r="L470" s="215"/>
      <c r="M470" s="36" t="s">
        <v>4338</v>
      </c>
      <c r="N470" s="6" t="s">
        <v>4339</v>
      </c>
      <c r="O470" s="6" t="s">
        <v>587</v>
      </c>
      <c r="P470" s="215" t="s">
        <v>1115</v>
      </c>
      <c r="Q470" s="185" t="s">
        <v>587</v>
      </c>
      <c r="R470" s="36" t="s">
        <v>587</v>
      </c>
      <c r="S470" s="35" t="str">
        <f aca="false">IF(ISNUMBER($AF470),INDEX(IDX_SrcStat,$AF470),"—")</f>
        <v>—</v>
      </c>
      <c r="T470" s="35" t="str">
        <f aca="false">IF(ISNUMBER($AF470),INDEX(IDX_SrcGrade,$AF470),"—")</f>
        <v>—</v>
      </c>
      <c r="U470" s="36" t="s">
        <v>587</v>
      </c>
      <c r="V470" s="186" t="n">
        <f aca="false">IF(AND($F470="原始數據",$U470&lt;&gt;"連結 SRC"),1,0)</f>
        <v>0</v>
      </c>
      <c r="W470" s="186" t="n">
        <f aca="false">IF(AND($F470="Analogy",OR($H470="—",$H470="")),1,0)</f>
        <v>0</v>
      </c>
      <c r="X470" s="186" t="n">
        <f aca="false">IF(AND(OR($F470="Analogy",$F470="Assumed"),$G470&lt;&gt;"低",$G470&lt;&gt;"高",NOT(ISNUMBER($K470)),NOT(ISNUMBER($L470)),OR($M470="—",$M470="")),1,0)</f>
        <v>0</v>
      </c>
      <c r="Y470" s="186" t="n">
        <f aca="false">IF(AND(OR($F470="Analogy",$F470="Assumed",$F470="Derived（待改公式）",$F470="Derived（公式）"),OR($N470="—",$N470="",$N470=0)),1,0)</f>
        <v>0</v>
      </c>
      <c r="Z470" s="186" t="n">
        <f aca="false">IF(AND($F470="Decision",OR($J470="—",$J470="")),1,0)</f>
        <v>0</v>
      </c>
      <c r="AA470" s="183" t="n">
        <f aca="false">IF(OR($J470="—",$J470=""),0,IF(COUNTIF(Decisions!$A$5:$A$300,$J470)=0,1,0))</f>
        <v>0</v>
      </c>
      <c r="AB470" s="186" t="n">
        <f aca="false">IF(AND($F470="原始數據",$S470&lt;&gt;"Active"),1,0)</f>
        <v>0</v>
      </c>
      <c r="AC470" s="186" t="n">
        <f aca="false">IF(AND(ISNUMBER($K470),ISNUMBER($L470),ISNUMBER($Q470)),IF(OR($Q470&lt;MIN($K470,$L470),$Q470&gt;MAX($K470,$L470)),1,0),0)</f>
        <v>0</v>
      </c>
      <c r="AD470" s="186" t="n">
        <f aca="false">IF(AND(ISNUMBER($T470),$P470="高"),IF($T470=3,1,0),0)</f>
        <v>0</v>
      </c>
      <c r="AE470" s="186" t="n">
        <f aca="false">IF($S470="不存在",1,0)</f>
        <v>0</v>
      </c>
      <c r="AF470" s="35" t="str">
        <f aca="false">IF(OR($H470="—",$H470=""),"—",MATCH($H470,IDX_SrcID,0))</f>
        <v>—</v>
      </c>
      <c r="AG470" s="104" t="n">
        <f aca="false">IF(AND($P470="高",OR($AD470=1,$X470=1)),1,0)</f>
        <v>0</v>
      </c>
      <c r="AH470" s="104" t="n">
        <f aca="false">IF(AND($P470="高",$AG470=0,OR($F470&lt;&gt;"原始數據",$T470&lt;&gt;1)),1,0)</f>
        <v>0</v>
      </c>
      <c r="AI470" s="53" t="str">
        <f aca="false">IF(AND($P470="高",ISNUMBER($AF470)),INDEX(IDX_SrcDate,$AF470),"—")</f>
        <v>—</v>
      </c>
      <c r="AJ470" s="104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6" t="s">
        <v>4340</v>
      </c>
      <c r="B471" s="215" t="s">
        <v>4244</v>
      </c>
      <c r="C471" s="36" t="s">
        <v>4245</v>
      </c>
      <c r="D471" s="36" t="s">
        <v>3632</v>
      </c>
      <c r="E471" s="6" t="s">
        <v>1159</v>
      </c>
      <c r="F471" s="36" t="s">
        <v>80</v>
      </c>
      <c r="G471" s="215" t="s">
        <v>65</v>
      </c>
      <c r="H471" s="36" t="s">
        <v>587</v>
      </c>
      <c r="I471" s="6" t="s">
        <v>587</v>
      </c>
      <c r="J471" s="36" t="s">
        <v>587</v>
      </c>
      <c r="K471" s="183" t="n">
        <f aca="false">Cap_In!D40</f>
        <v>3</v>
      </c>
      <c r="L471" s="183" t="n">
        <f aca="false">Cap_In!E40</f>
        <v>6</v>
      </c>
      <c r="M471" s="36" t="s">
        <v>587</v>
      </c>
      <c r="N471" s="6" t="s">
        <v>4341</v>
      </c>
      <c r="O471" s="6" t="s">
        <v>587</v>
      </c>
      <c r="P471" s="215" t="s">
        <v>1115</v>
      </c>
      <c r="Q471" s="183" t="n">
        <f aca="false">Cap_In!C40</f>
        <v>4</v>
      </c>
      <c r="R471" s="36" t="s">
        <v>587</v>
      </c>
      <c r="S471" s="35" t="str">
        <f aca="false">IF(ISNUMBER($AF471),INDEX(IDX_SrcStat,$AF471),"—")</f>
        <v>—</v>
      </c>
      <c r="T471" s="35" t="str">
        <f aca="false">IF(ISNUMBER($AF471),INDEX(IDX_SrcGrade,$AF471),"—")</f>
        <v>—</v>
      </c>
      <c r="U471" s="35" t="s">
        <v>3189</v>
      </c>
      <c r="V471" s="186" t="n">
        <f aca="false">IF(AND($F471="原始數據",$U471&lt;&gt;"連結 SRC"),1,0)</f>
        <v>0</v>
      </c>
      <c r="W471" s="186" t="n">
        <f aca="false">IF(AND($F471="Analogy",OR($H471="—",$H471="")),1,0)</f>
        <v>0</v>
      </c>
      <c r="X471" s="186" t="n">
        <f aca="false">IF(AND(OR($F471="Analogy",$F471="Assumed"),$G471&lt;&gt;"低",$G471&lt;&gt;"高",NOT(ISNUMBER($K471)),NOT(ISNUMBER($L471)),OR($M471="—",$M471="")),1,0)</f>
        <v>0</v>
      </c>
      <c r="Y471" s="186" t="n">
        <f aca="false">IF(AND(OR($F471="Analogy",$F471="Assumed",$F471="Derived（待改公式）",$F471="Derived（公式）"),OR($N471="—",$N471="",$N471=0)),1,0)</f>
        <v>0</v>
      </c>
      <c r="Z471" s="186" t="n">
        <f aca="false">IF(AND($F471="Decision",OR($J471="—",$J471="")),1,0)</f>
        <v>0</v>
      </c>
      <c r="AA471" s="183" t="n">
        <f aca="false">IF(OR($J471="—",$J471=""),0,IF(COUNTIF(Decisions!$A$5:$A$300,$J471)=0,1,0))</f>
        <v>0</v>
      </c>
      <c r="AB471" s="186" t="n">
        <f aca="false">IF(AND($F471="原始數據",$S471&lt;&gt;"Active"),1,0)</f>
        <v>0</v>
      </c>
      <c r="AC471" s="186" t="n">
        <f aca="false">IF(AND(ISNUMBER($K471),ISNUMBER($L471),ISNUMBER($Q471)),IF(OR($Q471&lt;MIN($K471,$L471),$Q471&gt;MAX($K471,$L471)),1,0),0)</f>
        <v>0</v>
      </c>
      <c r="AD471" s="186" t="n">
        <f aca="false">IF(AND(ISNUMBER($T471),$P471="高"),IF($T471=3,1,0),0)</f>
        <v>0</v>
      </c>
      <c r="AE471" s="186" t="n">
        <f aca="false">IF($S471="不存在",1,0)</f>
        <v>0</v>
      </c>
      <c r="AF471" s="35" t="str">
        <f aca="false">IF(OR($H471="—",$H471=""),"—",MATCH($H471,IDX_SrcID,0))</f>
        <v>—</v>
      </c>
      <c r="AG471" s="104" t="n">
        <f aca="false">IF(AND($P471="高",OR($AD471=1,$X471=1)),1,0)</f>
        <v>0</v>
      </c>
      <c r="AH471" s="104" t="n">
        <f aca="false">IF(AND($P471="高",$AG471=0,OR($F471&lt;&gt;"原始數據",$T471&lt;&gt;1)),1,0)</f>
        <v>0</v>
      </c>
      <c r="AI471" s="53" t="str">
        <f aca="false">IF(AND($P471="高",ISNUMBER($AF471)),INDEX(IDX_SrcDate,$AF471),"—")</f>
        <v>—</v>
      </c>
      <c r="AJ471" s="104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6" t="s">
        <v>4342</v>
      </c>
      <c r="B472" s="215" t="s">
        <v>4244</v>
      </c>
      <c r="C472" s="36" t="s">
        <v>4245</v>
      </c>
      <c r="D472" s="36" t="s">
        <v>4343</v>
      </c>
      <c r="E472" s="6" t="s">
        <v>1159</v>
      </c>
      <c r="F472" s="36" t="s">
        <v>80</v>
      </c>
      <c r="G472" s="215" t="s">
        <v>4250</v>
      </c>
      <c r="H472" s="36" t="s">
        <v>587</v>
      </c>
      <c r="I472" s="6" t="s">
        <v>587</v>
      </c>
      <c r="J472" s="36" t="s">
        <v>587</v>
      </c>
      <c r="K472" s="215"/>
      <c r="L472" s="215"/>
      <c r="M472" s="36" t="s">
        <v>4344</v>
      </c>
      <c r="N472" s="6" t="s">
        <v>1159</v>
      </c>
      <c r="O472" s="6" t="s">
        <v>587</v>
      </c>
      <c r="P472" s="215" t="s">
        <v>1115</v>
      </c>
      <c r="Q472" s="185" t="s">
        <v>587</v>
      </c>
      <c r="R472" s="36" t="s">
        <v>587</v>
      </c>
      <c r="S472" s="35" t="str">
        <f aca="false">IF(ISNUMBER($AF472),INDEX(IDX_SrcStat,$AF472),"—")</f>
        <v>—</v>
      </c>
      <c r="T472" s="35" t="str">
        <f aca="false">IF(ISNUMBER($AF472),INDEX(IDX_SrcGrade,$AF472),"—")</f>
        <v>—</v>
      </c>
      <c r="U472" s="36" t="s">
        <v>587</v>
      </c>
      <c r="V472" s="186" t="n">
        <f aca="false">IF(AND($F472="原始數據",$U472&lt;&gt;"連結 SRC"),1,0)</f>
        <v>0</v>
      </c>
      <c r="W472" s="186" t="n">
        <f aca="false">IF(AND($F472="Analogy",OR($H472="—",$H472="")),1,0)</f>
        <v>0</v>
      </c>
      <c r="X472" s="186" t="n">
        <f aca="false">IF(AND(OR($F472="Analogy",$F472="Assumed"),$G472&lt;&gt;"低",$G472&lt;&gt;"高",NOT(ISNUMBER($K472)),NOT(ISNUMBER($L472)),OR($M472="—",$M472="")),1,0)</f>
        <v>0</v>
      </c>
      <c r="Y472" s="186" t="n">
        <f aca="false">IF(AND(OR($F472="Analogy",$F472="Assumed",$F472="Derived（待改公式）",$F472="Derived（公式）"),OR($N472="—",$N472="",$N472=0)),1,0)</f>
        <v>0</v>
      </c>
      <c r="Z472" s="186" t="n">
        <f aca="false">IF(AND($F472="Decision",OR($J472="—",$J472="")),1,0)</f>
        <v>0</v>
      </c>
      <c r="AA472" s="183" t="n">
        <f aca="false">IF(OR($J472="—",$J472=""),0,IF(COUNTIF(Decisions!$A$5:$A$300,$J472)=0,1,0))</f>
        <v>0</v>
      </c>
      <c r="AB472" s="186" t="n">
        <f aca="false">IF(AND($F472="原始數據",$S472&lt;&gt;"Active"),1,0)</f>
        <v>0</v>
      </c>
      <c r="AC472" s="186" t="n">
        <f aca="false">IF(AND(ISNUMBER($K472),ISNUMBER($L472),ISNUMBER($Q472)),IF(OR($Q472&lt;MIN($K472,$L472),$Q472&gt;MAX($K472,$L472)),1,0),0)</f>
        <v>0</v>
      </c>
      <c r="AD472" s="186" t="n">
        <f aca="false">IF(AND(ISNUMBER($T472),$P472="高"),IF($T472=3,1,0),0)</f>
        <v>0</v>
      </c>
      <c r="AE472" s="186" t="n">
        <f aca="false">IF($S472="不存在",1,0)</f>
        <v>0</v>
      </c>
      <c r="AF472" s="35" t="str">
        <f aca="false">IF(OR($H472="—",$H472=""),"—",MATCH($H472,IDX_SrcID,0))</f>
        <v>—</v>
      </c>
      <c r="AG472" s="104" t="n">
        <f aca="false">IF(AND($P472="高",OR($AD472=1,$X472=1)),1,0)</f>
        <v>0</v>
      </c>
      <c r="AH472" s="104" t="n">
        <f aca="false">IF(AND($P472="高",$AG472=0,OR($F472&lt;&gt;"原始數據",$T472&lt;&gt;1)),1,0)</f>
        <v>0</v>
      </c>
      <c r="AI472" s="53" t="str">
        <f aca="false">IF(AND($P472="高",ISNUMBER($AF472)),INDEX(IDX_SrcDate,$AF472),"—")</f>
        <v>—</v>
      </c>
      <c r="AJ472" s="104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6" t="s">
        <v>4345</v>
      </c>
      <c r="B473" s="215" t="s">
        <v>4244</v>
      </c>
      <c r="C473" s="36" t="s">
        <v>4245</v>
      </c>
      <c r="D473" s="36" t="s">
        <v>3646</v>
      </c>
      <c r="E473" s="6" t="s">
        <v>1160</v>
      </c>
      <c r="F473" s="36" t="s">
        <v>80</v>
      </c>
      <c r="G473" s="215" t="s">
        <v>65</v>
      </c>
      <c r="H473" s="36" t="s">
        <v>587</v>
      </c>
      <c r="I473" s="6" t="s">
        <v>587</v>
      </c>
      <c r="J473" s="36" t="s">
        <v>587</v>
      </c>
      <c r="K473" s="175" t="n">
        <f aca="false">Cap_In!D41</f>
        <v>0.05</v>
      </c>
      <c r="L473" s="175" t="n">
        <f aca="false">Cap_In!E41</f>
        <v>0.3</v>
      </c>
      <c r="M473" s="36" t="s">
        <v>587</v>
      </c>
      <c r="N473" s="19" t="s">
        <v>4346</v>
      </c>
      <c r="O473" s="6" t="s">
        <v>587</v>
      </c>
      <c r="P473" s="215" t="s">
        <v>3188</v>
      </c>
      <c r="Q473" s="175" t="n">
        <f aca="false">Cap_In!C41</f>
        <v>0.1</v>
      </c>
      <c r="R473" s="36" t="s">
        <v>587</v>
      </c>
      <c r="S473" s="35" t="str">
        <f aca="false">IF(ISNUMBER($AF473),INDEX(IDX_SrcStat,$AF473),"—")</f>
        <v>—</v>
      </c>
      <c r="T473" s="35" t="str">
        <f aca="false">IF(ISNUMBER($AF473),INDEX(IDX_SrcGrade,$AF473),"—")</f>
        <v>—</v>
      </c>
      <c r="U473" s="35" t="s">
        <v>3189</v>
      </c>
      <c r="V473" s="186" t="n">
        <f aca="false">IF(AND($F473="原始數據",$U473&lt;&gt;"連結 SRC"),1,0)</f>
        <v>0</v>
      </c>
      <c r="W473" s="186" t="n">
        <f aca="false">IF(AND($F473="Analogy",OR($H473="—",$H473="")),1,0)</f>
        <v>0</v>
      </c>
      <c r="X473" s="186" t="n">
        <f aca="false">IF(AND(OR($F473="Analogy",$F473="Assumed"),$G473&lt;&gt;"低",$G473&lt;&gt;"高",NOT(ISNUMBER($K473)),NOT(ISNUMBER($L473)),OR($M473="—",$M473="")),1,0)</f>
        <v>0</v>
      </c>
      <c r="Y473" s="186" t="n">
        <f aca="false">IF(AND(OR($F473="Analogy",$F473="Assumed",$F473="Derived（待改公式）",$F473="Derived（公式）"),OR($N473="—",$N473="",$N473=0)),1,0)</f>
        <v>0</v>
      </c>
      <c r="Z473" s="186" t="n">
        <f aca="false">IF(AND($F473="Decision",OR($J473="—",$J473="")),1,0)</f>
        <v>0</v>
      </c>
      <c r="AA473" s="183" t="n">
        <f aca="false">IF(OR($J473="—",$J473=""),0,IF(COUNTIF(Decisions!$A$5:$A$300,$J473)=0,1,0))</f>
        <v>0</v>
      </c>
      <c r="AB473" s="186" t="n">
        <f aca="false">IF(AND($F473="原始數據",$S473&lt;&gt;"Active"),1,0)</f>
        <v>0</v>
      </c>
      <c r="AC473" s="186" t="n">
        <f aca="false">IF(AND(ISNUMBER($K473),ISNUMBER($L473),ISNUMBER($Q473)),IF(OR($Q473&lt;MIN($K473,$L473),$Q473&gt;MAX($K473,$L473)),1,0),0)</f>
        <v>0</v>
      </c>
      <c r="AD473" s="186" t="n">
        <f aca="false">IF(AND(ISNUMBER($T473),$P473="高"),IF($T473=3,1,0),0)</f>
        <v>0</v>
      </c>
      <c r="AE473" s="186" t="n">
        <f aca="false">IF($S473="不存在",1,0)</f>
        <v>0</v>
      </c>
      <c r="AF473" s="35" t="str">
        <f aca="false">IF(OR($H473="—",$H473=""),"—",MATCH($H473,IDX_SrcID,0))</f>
        <v>—</v>
      </c>
      <c r="AG473" s="104" t="n">
        <f aca="false">IF(AND($P473="高",OR($AD473=1,$X473=1)),1,0)</f>
        <v>0</v>
      </c>
      <c r="AH473" s="104" t="n">
        <f aca="false">IF(AND($P473="高",$AG473=0,OR($F473&lt;&gt;"原始數據",$T473&lt;&gt;1)),1,0)</f>
        <v>0</v>
      </c>
      <c r="AI473" s="53" t="str">
        <f aca="false">IF(AND($P473="高",ISNUMBER($AF473)),INDEX(IDX_SrcDate,$AF473),"—")</f>
        <v>—</v>
      </c>
      <c r="AJ473" s="104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6" t="s">
        <v>4347</v>
      </c>
      <c r="B474" s="215" t="s">
        <v>4244</v>
      </c>
      <c r="C474" s="36" t="s">
        <v>4245</v>
      </c>
      <c r="D474" s="36" t="s">
        <v>4348</v>
      </c>
      <c r="E474" s="6" t="s">
        <v>1160</v>
      </c>
      <c r="F474" s="36" t="s">
        <v>80</v>
      </c>
      <c r="G474" s="215" t="s">
        <v>4250</v>
      </c>
      <c r="H474" s="36" t="s">
        <v>587</v>
      </c>
      <c r="I474" s="6" t="s">
        <v>587</v>
      </c>
      <c r="J474" s="36" t="s">
        <v>587</v>
      </c>
      <c r="K474" s="215"/>
      <c r="L474" s="215"/>
      <c r="M474" s="36" t="s">
        <v>4349</v>
      </c>
      <c r="N474" s="19" t="s">
        <v>4346</v>
      </c>
      <c r="O474" s="6" t="s">
        <v>587</v>
      </c>
      <c r="P474" s="215" t="s">
        <v>3188</v>
      </c>
      <c r="Q474" s="185" t="s">
        <v>587</v>
      </c>
      <c r="R474" s="36" t="s">
        <v>587</v>
      </c>
      <c r="S474" s="35" t="str">
        <f aca="false">IF(ISNUMBER($AF474),INDEX(IDX_SrcStat,$AF474),"—")</f>
        <v>—</v>
      </c>
      <c r="T474" s="35" t="str">
        <f aca="false">IF(ISNUMBER($AF474),INDEX(IDX_SrcGrade,$AF474),"—")</f>
        <v>—</v>
      </c>
      <c r="U474" s="36" t="s">
        <v>587</v>
      </c>
      <c r="V474" s="186" t="n">
        <f aca="false">IF(AND($F474="原始數據",$U474&lt;&gt;"連結 SRC"),1,0)</f>
        <v>0</v>
      </c>
      <c r="W474" s="186" t="n">
        <f aca="false">IF(AND($F474="Analogy",OR($H474="—",$H474="")),1,0)</f>
        <v>0</v>
      </c>
      <c r="X474" s="186" t="n">
        <f aca="false">IF(AND(OR($F474="Analogy",$F474="Assumed"),$G474&lt;&gt;"低",$G474&lt;&gt;"高",NOT(ISNUMBER($K474)),NOT(ISNUMBER($L474)),OR($M474="—",$M474="")),1,0)</f>
        <v>0</v>
      </c>
      <c r="Y474" s="186" t="n">
        <f aca="false">IF(AND(OR($F474="Analogy",$F474="Assumed",$F474="Derived（待改公式）",$F474="Derived（公式）"),OR($N474="—",$N474="",$N474=0)),1,0)</f>
        <v>0</v>
      </c>
      <c r="Z474" s="186" t="n">
        <f aca="false">IF(AND($F474="Decision",OR($J474="—",$J474="")),1,0)</f>
        <v>0</v>
      </c>
      <c r="AA474" s="183" t="n">
        <f aca="false">IF(OR($J474="—",$J474=""),0,IF(COUNTIF(Decisions!$A$5:$A$300,$J474)=0,1,0))</f>
        <v>0</v>
      </c>
      <c r="AB474" s="186" t="n">
        <f aca="false">IF(AND($F474="原始數據",$S474&lt;&gt;"Active"),1,0)</f>
        <v>0</v>
      </c>
      <c r="AC474" s="186" t="n">
        <f aca="false">IF(AND(ISNUMBER($K474),ISNUMBER($L474),ISNUMBER($Q474)),IF(OR($Q474&lt;MIN($K474,$L474),$Q474&gt;MAX($K474,$L474)),1,0),0)</f>
        <v>0</v>
      </c>
      <c r="AD474" s="186" t="n">
        <f aca="false">IF(AND(ISNUMBER($T474),$P474="高"),IF($T474=3,1,0),0)</f>
        <v>0</v>
      </c>
      <c r="AE474" s="186" t="n">
        <f aca="false">IF($S474="不存在",1,0)</f>
        <v>0</v>
      </c>
      <c r="AF474" s="35" t="str">
        <f aca="false">IF(OR($H474="—",$H474=""),"—",MATCH($H474,IDX_SrcID,0))</f>
        <v>—</v>
      </c>
      <c r="AG474" s="104" t="n">
        <f aca="false">IF(AND($P474="高",OR($AD474=1,$X474=1)),1,0)</f>
        <v>0</v>
      </c>
      <c r="AH474" s="104" t="n">
        <f aca="false">IF(AND($P474="高",$AG474=0,OR($F474&lt;&gt;"原始數據",$T474&lt;&gt;1)),1,0)</f>
        <v>0</v>
      </c>
      <c r="AI474" s="53" t="str">
        <f aca="false">IF(AND($P474="高",ISNUMBER($AF474)),INDEX(IDX_SrcDate,$AF474),"—")</f>
        <v>—</v>
      </c>
      <c r="AJ474" s="104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6" t="s">
        <v>4350</v>
      </c>
      <c r="B475" s="215" t="s">
        <v>4244</v>
      </c>
      <c r="C475" s="36" t="s">
        <v>4245</v>
      </c>
      <c r="D475" s="36" t="s">
        <v>4209</v>
      </c>
      <c r="E475" s="6" t="s">
        <v>1162</v>
      </c>
      <c r="F475" s="36" t="s">
        <v>80</v>
      </c>
      <c r="G475" s="215" t="s">
        <v>65</v>
      </c>
      <c r="H475" s="36" t="s">
        <v>587</v>
      </c>
      <c r="I475" s="6" t="s">
        <v>587</v>
      </c>
      <c r="J475" s="36" t="s">
        <v>587</v>
      </c>
      <c r="K475" s="183" t="n">
        <f aca="false">Cap_In!D42</f>
        <v>3</v>
      </c>
      <c r="L475" s="183" t="n">
        <f aca="false">Cap_In!E42</f>
        <v>6</v>
      </c>
      <c r="M475" s="36" t="s">
        <v>587</v>
      </c>
      <c r="N475" s="6" t="s">
        <v>1162</v>
      </c>
      <c r="O475" s="6" t="s">
        <v>587</v>
      </c>
      <c r="P475" s="215" t="s">
        <v>3188</v>
      </c>
      <c r="Q475" s="183" t="n">
        <f aca="false">Cap_In!C42</f>
        <v>5</v>
      </c>
      <c r="R475" s="36" t="s">
        <v>587</v>
      </c>
      <c r="S475" s="35" t="str">
        <f aca="false">IF(ISNUMBER($AF475),INDEX(IDX_SrcStat,$AF475),"—")</f>
        <v>—</v>
      </c>
      <c r="T475" s="35" t="str">
        <f aca="false">IF(ISNUMBER($AF475),INDEX(IDX_SrcGrade,$AF475),"—")</f>
        <v>—</v>
      </c>
      <c r="U475" s="35" t="s">
        <v>3189</v>
      </c>
      <c r="V475" s="186" t="n">
        <f aca="false">IF(AND($F475="原始數據",$U475&lt;&gt;"連結 SRC"),1,0)</f>
        <v>0</v>
      </c>
      <c r="W475" s="186" t="n">
        <f aca="false">IF(AND($F475="Analogy",OR($H475="—",$H475="")),1,0)</f>
        <v>0</v>
      </c>
      <c r="X475" s="186" t="n">
        <f aca="false">IF(AND(OR($F475="Analogy",$F475="Assumed"),$G475&lt;&gt;"低",$G475&lt;&gt;"高",NOT(ISNUMBER($K475)),NOT(ISNUMBER($L475)),OR($M475="—",$M475="")),1,0)</f>
        <v>0</v>
      </c>
      <c r="Y475" s="186" t="n">
        <f aca="false">IF(AND(OR($F475="Analogy",$F475="Assumed",$F475="Derived（待改公式）",$F475="Derived（公式）"),OR($N475="—",$N475="",$N475=0)),1,0)</f>
        <v>0</v>
      </c>
      <c r="Z475" s="186" t="n">
        <f aca="false">IF(AND($F475="Decision",OR($J475="—",$J475="")),1,0)</f>
        <v>0</v>
      </c>
      <c r="AA475" s="183" t="n">
        <f aca="false">IF(OR($J475="—",$J475=""),0,IF(COUNTIF(Decisions!$A$5:$A$300,$J475)=0,1,0))</f>
        <v>0</v>
      </c>
      <c r="AB475" s="186" t="n">
        <f aca="false">IF(AND($F475="原始數據",$S475&lt;&gt;"Active"),1,0)</f>
        <v>0</v>
      </c>
      <c r="AC475" s="186" t="n">
        <f aca="false">IF(AND(ISNUMBER($K475),ISNUMBER($L475),ISNUMBER($Q475)),IF(OR($Q475&lt;MIN($K475,$L475),$Q475&gt;MAX($K475,$L475)),1,0),0)</f>
        <v>0</v>
      </c>
      <c r="AD475" s="186" t="n">
        <f aca="false">IF(AND(ISNUMBER($T475),$P475="高"),IF($T475=3,1,0),0)</f>
        <v>0</v>
      </c>
      <c r="AE475" s="186" t="n">
        <f aca="false">IF($S475="不存在",1,0)</f>
        <v>0</v>
      </c>
      <c r="AF475" s="35" t="str">
        <f aca="false">IF(OR($H475="—",$H475=""),"—",MATCH($H475,IDX_SrcID,0))</f>
        <v>—</v>
      </c>
      <c r="AG475" s="104" t="n">
        <f aca="false">IF(AND($P475="高",OR($AD475=1,$X475=1)),1,0)</f>
        <v>0</v>
      </c>
      <c r="AH475" s="104" t="n">
        <f aca="false">IF(AND($P475="高",$AG475=0,OR($F475&lt;&gt;"原始數據",$T475&lt;&gt;1)),1,0)</f>
        <v>0</v>
      </c>
      <c r="AI475" s="53" t="str">
        <f aca="false">IF(AND($P475="高",ISNUMBER($AF475)),INDEX(IDX_SrcDate,$AF475),"—")</f>
        <v>—</v>
      </c>
      <c r="AJ475" s="104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6" t="s">
        <v>4351</v>
      </c>
      <c r="B476" s="215" t="s">
        <v>4244</v>
      </c>
      <c r="C476" s="36" t="s">
        <v>4245</v>
      </c>
      <c r="D476" s="36" t="s">
        <v>4352</v>
      </c>
      <c r="E476" s="6" t="s">
        <v>1162</v>
      </c>
      <c r="F476" s="36" t="s">
        <v>80</v>
      </c>
      <c r="G476" s="215" t="s">
        <v>4250</v>
      </c>
      <c r="H476" s="36" t="s">
        <v>587</v>
      </c>
      <c r="I476" s="6" t="s">
        <v>587</v>
      </c>
      <c r="J476" s="36" t="s">
        <v>587</v>
      </c>
      <c r="K476" s="215"/>
      <c r="L476" s="215"/>
      <c r="M476" s="36" t="s">
        <v>4353</v>
      </c>
      <c r="N476" s="6" t="s">
        <v>1162</v>
      </c>
      <c r="O476" s="6" t="s">
        <v>587</v>
      </c>
      <c r="P476" s="215" t="s">
        <v>3188</v>
      </c>
      <c r="Q476" s="185" t="s">
        <v>587</v>
      </c>
      <c r="R476" s="36" t="s">
        <v>587</v>
      </c>
      <c r="S476" s="35" t="str">
        <f aca="false">IF(ISNUMBER($AF476),INDEX(IDX_SrcStat,$AF476),"—")</f>
        <v>—</v>
      </c>
      <c r="T476" s="35" t="str">
        <f aca="false">IF(ISNUMBER($AF476),INDEX(IDX_SrcGrade,$AF476),"—")</f>
        <v>—</v>
      </c>
      <c r="U476" s="36" t="s">
        <v>587</v>
      </c>
      <c r="V476" s="186" t="n">
        <f aca="false">IF(AND($F476="原始數據",$U476&lt;&gt;"連結 SRC"),1,0)</f>
        <v>0</v>
      </c>
      <c r="W476" s="186" t="n">
        <f aca="false">IF(AND($F476="Analogy",OR($H476="—",$H476="")),1,0)</f>
        <v>0</v>
      </c>
      <c r="X476" s="186" t="n">
        <f aca="false">IF(AND(OR($F476="Analogy",$F476="Assumed"),$G476&lt;&gt;"低",$G476&lt;&gt;"高",NOT(ISNUMBER($K476)),NOT(ISNUMBER($L476)),OR($M476="—",$M476="")),1,0)</f>
        <v>0</v>
      </c>
      <c r="Y476" s="186" t="n">
        <f aca="false">IF(AND(OR($F476="Analogy",$F476="Assumed",$F476="Derived（待改公式）",$F476="Derived（公式）"),OR($N476="—",$N476="",$N476=0)),1,0)</f>
        <v>0</v>
      </c>
      <c r="Z476" s="186" t="n">
        <f aca="false">IF(AND($F476="Decision",OR($J476="—",$J476="")),1,0)</f>
        <v>0</v>
      </c>
      <c r="AA476" s="183" t="n">
        <f aca="false">IF(OR($J476="—",$J476=""),0,IF(COUNTIF(Decisions!$A$5:$A$300,$J476)=0,1,0))</f>
        <v>0</v>
      </c>
      <c r="AB476" s="186" t="n">
        <f aca="false">IF(AND($F476="原始數據",$S476&lt;&gt;"Active"),1,0)</f>
        <v>0</v>
      </c>
      <c r="AC476" s="186" t="n">
        <f aca="false">IF(AND(ISNUMBER($K476),ISNUMBER($L476),ISNUMBER($Q476)),IF(OR($Q476&lt;MIN($K476,$L476),$Q476&gt;MAX($K476,$L476)),1,0),0)</f>
        <v>0</v>
      </c>
      <c r="AD476" s="186" t="n">
        <f aca="false">IF(AND(ISNUMBER($T476),$P476="高"),IF($T476=3,1,0),0)</f>
        <v>0</v>
      </c>
      <c r="AE476" s="186" t="n">
        <f aca="false">IF($S476="不存在",1,0)</f>
        <v>0</v>
      </c>
      <c r="AF476" s="35" t="str">
        <f aca="false">IF(OR($H476="—",$H476=""),"—",MATCH($H476,IDX_SrcID,0))</f>
        <v>—</v>
      </c>
      <c r="AG476" s="104" t="n">
        <f aca="false">IF(AND($P476="高",OR($AD476=1,$X476=1)),1,0)</f>
        <v>0</v>
      </c>
      <c r="AH476" s="104" t="n">
        <f aca="false">IF(AND($P476="高",$AG476=0,OR($F476&lt;&gt;"原始數據",$T476&lt;&gt;1)),1,0)</f>
        <v>0</v>
      </c>
      <c r="AI476" s="53" t="str">
        <f aca="false">IF(AND($P476="高",ISNUMBER($AF476)),INDEX(IDX_SrcDate,$AF476),"—")</f>
        <v>—</v>
      </c>
      <c r="AJ476" s="104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6" t="s">
        <v>4354</v>
      </c>
      <c r="B477" s="215" t="s">
        <v>4244</v>
      </c>
      <c r="C477" s="36" t="s">
        <v>4245</v>
      </c>
      <c r="D477" s="36" t="s">
        <v>4355</v>
      </c>
      <c r="E477" s="6" t="s">
        <v>1176</v>
      </c>
      <c r="F477" s="215" t="s">
        <v>4356</v>
      </c>
      <c r="G477" s="215" t="s">
        <v>3930</v>
      </c>
      <c r="H477" s="36" t="s">
        <v>4357</v>
      </c>
      <c r="I477" s="19" t="s">
        <v>4358</v>
      </c>
      <c r="J477" s="36" t="s">
        <v>4273</v>
      </c>
      <c r="K477" s="215"/>
      <c r="L477" s="215"/>
      <c r="M477" s="215" t="s">
        <v>3102</v>
      </c>
      <c r="N477" s="19" t="s">
        <v>4359</v>
      </c>
      <c r="O477" s="6" t="s">
        <v>587</v>
      </c>
      <c r="P477" s="215" t="s">
        <v>3188</v>
      </c>
      <c r="Q477" s="185" t="s">
        <v>587</v>
      </c>
      <c r="R477" s="185" t="n">
        <f aca="false">SRC_PRC_027</f>
        <v>0.5</v>
      </c>
      <c r="S477" s="35" t="str">
        <f aca="false">IF(ISNUMBER($AF477),INDEX(IDX_SrcStat,$AF477),"—")</f>
        <v>Active</v>
      </c>
      <c r="T477" s="35" t="n">
        <f aca="false">IF(ISNUMBER($AF477),INDEX(IDX_SrcGrade,$AF477),"—")</f>
        <v>1</v>
      </c>
      <c r="U477" s="36" t="s">
        <v>587</v>
      </c>
      <c r="V477" s="186" t="n">
        <f aca="false">IF(AND($F477="原始數據",$U477&lt;&gt;"連結 SRC"),1,0)</f>
        <v>0</v>
      </c>
      <c r="W477" s="186" t="n">
        <f aca="false">IF(AND($F477="Analogy",OR($H477="—",$H477="")),1,0)</f>
        <v>0</v>
      </c>
      <c r="X477" s="186" t="n">
        <f aca="false">IF(AND(OR($F477="Analogy",$F477="Assumed"),$G477&lt;&gt;"低",$G477&lt;&gt;"高",NOT(ISNUMBER($K477)),NOT(ISNUMBER($L477)),OR($M477="—",$M477="")),1,0)</f>
        <v>0</v>
      </c>
      <c r="Y477" s="186" t="n">
        <f aca="false">IF(AND(OR($F477="Analogy",$F477="Assumed",$F477="Derived（待改公式）",$F477="Derived（公式）"),OR($N477="—",$N477="",$N477=0)),1,0)</f>
        <v>0</v>
      </c>
      <c r="Z477" s="186" t="n">
        <f aca="false">IF(AND($F477="Decision",OR($J477="—",$J477="")),1,0)</f>
        <v>0</v>
      </c>
      <c r="AA477" s="183" t="n">
        <f aca="false">IF(OR($J477="—",$J477=""),0,IF(COUNTIF(Decisions!$A$5:$A$300,$J477)=0,1,0))</f>
        <v>0</v>
      </c>
      <c r="AB477" s="186" t="n">
        <f aca="false">IF(AND($F477="原始數據",$S477&lt;&gt;"Active"),1,0)</f>
        <v>0</v>
      </c>
      <c r="AC477" s="186" t="n">
        <f aca="false">IF(AND(ISNUMBER($K477),ISNUMBER($L477),ISNUMBER($Q477)),IF(OR($Q477&lt;MIN($K477,$L477),$Q477&gt;MAX($K477,$L477)),1,0),0)</f>
        <v>0</v>
      </c>
      <c r="AD477" s="186" t="n">
        <f aca="false">IF(AND(ISNUMBER($T477),$P477="高"),IF($T477=3,1,0),0)</f>
        <v>0</v>
      </c>
      <c r="AE477" s="186" t="n">
        <f aca="false">IF($S477="不存在",1,0)</f>
        <v>0</v>
      </c>
      <c r="AF477" s="35" t="n">
        <f aca="false">IF(OR($H477="—",$H477=""),"—",MATCH($H477,IDX_SrcID,0))</f>
        <v>424</v>
      </c>
      <c r="AG477" s="104" t="n">
        <f aca="false">IF(AND($P477="高",OR($AD477=1,$X477=1)),1,0)</f>
        <v>0</v>
      </c>
      <c r="AH477" s="104" t="n">
        <f aca="false">IF(AND($P477="高",$AG477=0,OR($F477&lt;&gt;"原始數據",$T477&lt;&gt;1)),1,0)</f>
        <v>0</v>
      </c>
      <c r="AI477" s="53" t="str">
        <f aca="false">IF(AND($P477="高",ISNUMBER($AF477)),INDEX(IDX_SrcDate,$AF477),"—")</f>
        <v>—</v>
      </c>
      <c r="AJ477" s="104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6" t="s">
        <v>4360</v>
      </c>
      <c r="B478" s="215" t="s">
        <v>4244</v>
      </c>
      <c r="C478" s="36" t="s">
        <v>4245</v>
      </c>
      <c r="D478" s="36" t="s">
        <v>4361</v>
      </c>
      <c r="E478" s="6" t="s">
        <v>1176</v>
      </c>
      <c r="F478" s="36" t="s">
        <v>3471</v>
      </c>
      <c r="G478" s="215" t="s">
        <v>3930</v>
      </c>
      <c r="H478" s="36" t="s">
        <v>587</v>
      </c>
      <c r="I478" s="6" t="s">
        <v>587</v>
      </c>
      <c r="J478" s="36" t="s">
        <v>4362</v>
      </c>
      <c r="K478" s="215"/>
      <c r="L478" s="215"/>
      <c r="M478" s="215" t="s">
        <v>3102</v>
      </c>
      <c r="N478" s="19" t="s">
        <v>4363</v>
      </c>
      <c r="O478" s="6" t="s">
        <v>587</v>
      </c>
      <c r="P478" s="215" t="s">
        <v>3188</v>
      </c>
      <c r="Q478" s="185" t="s">
        <v>587</v>
      </c>
      <c r="R478" s="36" t="s">
        <v>587</v>
      </c>
      <c r="S478" s="35" t="str">
        <f aca="false">IF(ISNUMBER($AF478),INDEX(IDX_SrcStat,$AF478),"—")</f>
        <v>—</v>
      </c>
      <c r="T478" s="35" t="str">
        <f aca="false">IF(ISNUMBER($AF478),INDEX(IDX_SrcGrade,$AF478),"—")</f>
        <v>—</v>
      </c>
      <c r="U478" s="36" t="s">
        <v>587</v>
      </c>
      <c r="V478" s="186" t="n">
        <f aca="false">IF(AND($F478="原始數據",$U478&lt;&gt;"連結 SRC"),1,0)</f>
        <v>0</v>
      </c>
      <c r="W478" s="186" t="n">
        <f aca="false">IF(AND($F478="Analogy",OR($H478="—",$H478="")),1,0)</f>
        <v>0</v>
      </c>
      <c r="X478" s="186" t="n">
        <f aca="false">IF(AND(OR($F478="Analogy",$F478="Assumed"),$G478&lt;&gt;"低",$G478&lt;&gt;"高",NOT(ISNUMBER($K478)),NOT(ISNUMBER($L478)),OR($M478="—",$M478="")),1,0)</f>
        <v>0</v>
      </c>
      <c r="Y478" s="186" t="n">
        <f aca="false">IF(AND(OR($F478="Analogy",$F478="Assumed",$F478="Derived（待改公式）",$F478="Derived（公式）"),OR($N478="—",$N478="",$N478=0)),1,0)</f>
        <v>0</v>
      </c>
      <c r="Z478" s="186" t="n">
        <f aca="false">IF(AND($F478="Decision",OR($J478="—",$J478="")),1,0)</f>
        <v>0</v>
      </c>
      <c r="AA478" s="183" t="n">
        <f aca="false">IF(OR($J478="—",$J478=""),0,IF(COUNTIF(Decisions!$A$5:$A$300,$J478)=0,1,0))</f>
        <v>0</v>
      </c>
      <c r="AB478" s="186" t="n">
        <f aca="false">IF(AND($F478="原始數據",$S478&lt;&gt;"Active"),1,0)</f>
        <v>0</v>
      </c>
      <c r="AC478" s="186" t="n">
        <f aca="false">IF(AND(ISNUMBER($K478),ISNUMBER($L478),ISNUMBER($Q478)),IF(OR($Q478&lt;MIN($K478,$L478),$Q478&gt;MAX($K478,$L478)),1,0),0)</f>
        <v>0</v>
      </c>
      <c r="AD478" s="186" t="n">
        <f aca="false">IF(AND(ISNUMBER($T478),$P478="高"),IF($T478=3,1,0),0)</f>
        <v>0</v>
      </c>
      <c r="AE478" s="186" t="n">
        <f aca="false">IF($S478="不存在",1,0)</f>
        <v>0</v>
      </c>
      <c r="AF478" s="35" t="str">
        <f aca="false">IF(OR($H478="—",$H478=""),"—",MATCH($H478,IDX_SrcID,0))</f>
        <v>—</v>
      </c>
      <c r="AG478" s="104" t="n">
        <f aca="false">IF(AND($P478="高",OR($AD478=1,$X478=1)),1,0)</f>
        <v>0</v>
      </c>
      <c r="AH478" s="104" t="n">
        <f aca="false">IF(AND($P478="高",$AG478=0,OR($F478&lt;&gt;"原始數據",$T478&lt;&gt;1)),1,0)</f>
        <v>0</v>
      </c>
      <c r="AI478" s="53" t="str">
        <f aca="false">IF(AND($P478="高",ISNUMBER($AF478)),INDEX(IDX_SrcDate,$AF478),"—")</f>
        <v>—</v>
      </c>
      <c r="AJ478" s="104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6" t="s">
        <v>4364</v>
      </c>
      <c r="B479" s="215" t="s">
        <v>4244</v>
      </c>
      <c r="C479" s="36" t="s">
        <v>4245</v>
      </c>
      <c r="D479" s="36" t="s">
        <v>4365</v>
      </c>
      <c r="E479" s="6" t="s">
        <v>1191</v>
      </c>
      <c r="F479" s="36" t="s">
        <v>80</v>
      </c>
      <c r="G479" s="215" t="s">
        <v>3185</v>
      </c>
      <c r="H479" s="36" t="s">
        <v>587</v>
      </c>
      <c r="I479" s="6" t="s">
        <v>587</v>
      </c>
      <c r="J479" s="36" t="s">
        <v>587</v>
      </c>
      <c r="K479" s="217" t="n">
        <v>0.125</v>
      </c>
      <c r="L479" s="217" t="n">
        <v>0.5</v>
      </c>
      <c r="M479" s="36" t="s">
        <v>4366</v>
      </c>
      <c r="N479" s="6" t="s">
        <v>4367</v>
      </c>
      <c r="O479" s="6" t="s">
        <v>4368</v>
      </c>
      <c r="P479" s="215" t="s">
        <v>3188</v>
      </c>
      <c r="Q479" s="38" t="n">
        <f aca="false">Cap_In!F50</f>
        <v>0.5</v>
      </c>
      <c r="R479" s="36" t="s">
        <v>587</v>
      </c>
      <c r="S479" s="35" t="str">
        <f aca="false">IF(ISNUMBER($AF479),INDEX(IDX_SrcStat,$AF479),"—")</f>
        <v>—</v>
      </c>
      <c r="T479" s="35" t="str">
        <f aca="false">IF(ISNUMBER($AF479),INDEX(IDX_SrcGrade,$AF479),"—")</f>
        <v>—</v>
      </c>
      <c r="U479" s="35" t="s">
        <v>3189</v>
      </c>
      <c r="V479" s="186" t="n">
        <f aca="false">IF(AND($F479="原始數據",$U479&lt;&gt;"連結 SRC"),1,0)</f>
        <v>0</v>
      </c>
      <c r="W479" s="186" t="n">
        <f aca="false">IF(AND($F479="Analogy",OR($H479="—",$H479="")),1,0)</f>
        <v>0</v>
      </c>
      <c r="X479" s="186" t="n">
        <f aca="false">IF(AND(OR($F479="Analogy",$F479="Assumed"),$G479&lt;&gt;"低",$G479&lt;&gt;"高",NOT(ISNUMBER($K479)),NOT(ISNUMBER($L479)),OR($M479="—",$M479="")),1,0)</f>
        <v>0</v>
      </c>
      <c r="Y479" s="186" t="n">
        <f aca="false">IF(AND(OR($F479="Analogy",$F479="Assumed",$F479="Derived（待改公式）",$F479="Derived（公式）"),OR($N479="—",$N479="",$N479=0)),1,0)</f>
        <v>0</v>
      </c>
      <c r="Z479" s="186" t="n">
        <f aca="false">IF(AND($F479="Decision",OR($J479="—",$J479="")),1,0)</f>
        <v>0</v>
      </c>
      <c r="AA479" s="183" t="n">
        <f aca="false">IF(OR($J479="—",$J479=""),0,IF(COUNTIF(Decisions!$A$5:$A$300,$J479)=0,1,0))</f>
        <v>0</v>
      </c>
      <c r="AB479" s="186" t="n">
        <f aca="false">IF(AND($F479="原始數據",$S479&lt;&gt;"Active"),1,0)</f>
        <v>0</v>
      </c>
      <c r="AC479" s="186" t="n">
        <f aca="false">IF(AND(ISNUMBER($K479),ISNUMBER($L479),ISNUMBER($Q479)),IF(OR($Q479&lt;MIN($K479,$L479),$Q479&gt;MAX($K479,$L479)),1,0),0)</f>
        <v>0</v>
      </c>
      <c r="AD479" s="186" t="n">
        <f aca="false">IF(AND(ISNUMBER($T479),$P479="高"),IF($T479=3,1,0),0)</f>
        <v>0</v>
      </c>
      <c r="AE479" s="186" t="n">
        <f aca="false">IF($S479="不存在",1,0)</f>
        <v>0</v>
      </c>
      <c r="AF479" s="35" t="str">
        <f aca="false">IF(OR($H479="—",$H479=""),"—",MATCH($H479,IDX_SrcID,0))</f>
        <v>—</v>
      </c>
      <c r="AG479" s="104" t="n">
        <f aca="false">IF(AND($P479="高",OR($AD479=1,$X479=1)),1,0)</f>
        <v>0</v>
      </c>
      <c r="AH479" s="104" t="n">
        <f aca="false">IF(AND($P479="高",$AG479=0,OR($F479&lt;&gt;"原始數據",$T479&lt;&gt;1)),1,0)</f>
        <v>0</v>
      </c>
      <c r="AI479" s="53" t="str">
        <f aca="false">IF(AND($P479="高",ISNUMBER($AF479)),INDEX(IDX_SrcDate,$AF479),"—")</f>
        <v>—</v>
      </c>
      <c r="AJ479" s="104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6" t="s">
        <v>4369</v>
      </c>
      <c r="B480" s="215" t="s">
        <v>4244</v>
      </c>
      <c r="C480" s="36" t="s">
        <v>4245</v>
      </c>
      <c r="D480" s="36" t="s">
        <v>4370</v>
      </c>
      <c r="E480" s="6" t="s">
        <v>1194</v>
      </c>
      <c r="F480" s="36" t="s">
        <v>80</v>
      </c>
      <c r="G480" s="215" t="s">
        <v>3185</v>
      </c>
      <c r="H480" s="36" t="s">
        <v>587</v>
      </c>
      <c r="I480" s="6" t="s">
        <v>587</v>
      </c>
      <c r="J480" s="36" t="s">
        <v>587</v>
      </c>
      <c r="K480" s="217" t="n">
        <v>0.1</v>
      </c>
      <c r="L480" s="217" t="n">
        <v>0.4</v>
      </c>
      <c r="M480" s="36" t="s">
        <v>4371</v>
      </c>
      <c r="N480" s="6" t="s">
        <v>4372</v>
      </c>
      <c r="O480" s="6" t="s">
        <v>4368</v>
      </c>
      <c r="P480" s="215" t="s">
        <v>3188</v>
      </c>
      <c r="Q480" s="38" t="n">
        <f aca="false">Cap_In!F51</f>
        <v>0.2</v>
      </c>
      <c r="R480" s="36" t="s">
        <v>587</v>
      </c>
      <c r="S480" s="35" t="str">
        <f aca="false">IF(ISNUMBER($AF480),INDEX(IDX_SrcStat,$AF480),"—")</f>
        <v>—</v>
      </c>
      <c r="T480" s="35" t="str">
        <f aca="false">IF(ISNUMBER($AF480),INDEX(IDX_SrcGrade,$AF480),"—")</f>
        <v>—</v>
      </c>
      <c r="U480" s="35" t="s">
        <v>3189</v>
      </c>
      <c r="V480" s="186" t="n">
        <f aca="false">IF(AND($F480="原始數據",$U480&lt;&gt;"連結 SRC"),1,0)</f>
        <v>0</v>
      </c>
      <c r="W480" s="186" t="n">
        <f aca="false">IF(AND($F480="Analogy",OR($H480="—",$H480="")),1,0)</f>
        <v>0</v>
      </c>
      <c r="X480" s="186" t="n">
        <f aca="false">IF(AND(OR($F480="Analogy",$F480="Assumed"),$G480&lt;&gt;"低",$G480&lt;&gt;"高",NOT(ISNUMBER($K480)),NOT(ISNUMBER($L480)),OR($M480="—",$M480="")),1,0)</f>
        <v>0</v>
      </c>
      <c r="Y480" s="186" t="n">
        <f aca="false">IF(AND(OR($F480="Analogy",$F480="Assumed",$F480="Derived（待改公式）",$F480="Derived（公式）"),OR($N480="—",$N480="",$N480=0)),1,0)</f>
        <v>0</v>
      </c>
      <c r="Z480" s="186" t="n">
        <f aca="false">IF(AND($F480="Decision",OR($J480="—",$J480="")),1,0)</f>
        <v>0</v>
      </c>
      <c r="AA480" s="183" t="n">
        <f aca="false">IF(OR($J480="—",$J480=""),0,IF(COUNTIF(Decisions!$A$5:$A$300,$J480)=0,1,0))</f>
        <v>0</v>
      </c>
      <c r="AB480" s="186" t="n">
        <f aca="false">IF(AND($F480="原始數據",$S480&lt;&gt;"Active"),1,0)</f>
        <v>0</v>
      </c>
      <c r="AC480" s="186" t="n">
        <f aca="false">IF(AND(ISNUMBER($K480),ISNUMBER($L480),ISNUMBER($Q480)),IF(OR($Q480&lt;MIN($K480,$L480),$Q480&gt;MAX($K480,$L480)),1,0),0)</f>
        <v>0</v>
      </c>
      <c r="AD480" s="186" t="n">
        <f aca="false">IF(AND(ISNUMBER($T480),$P480="高"),IF($T480=3,1,0),0)</f>
        <v>0</v>
      </c>
      <c r="AE480" s="186" t="n">
        <f aca="false">IF($S480="不存在",1,0)</f>
        <v>0</v>
      </c>
      <c r="AF480" s="35" t="str">
        <f aca="false">IF(OR($H480="—",$H480=""),"—",MATCH($H480,IDX_SrcID,0))</f>
        <v>—</v>
      </c>
      <c r="AG480" s="104" t="n">
        <f aca="false">IF(AND($P480="高",OR($AD480=1,$X480=1)),1,0)</f>
        <v>0</v>
      </c>
      <c r="AH480" s="104" t="n">
        <f aca="false">IF(AND($P480="高",$AG480=0,OR($F480&lt;&gt;"原始數據",$T480&lt;&gt;1)),1,0)</f>
        <v>0</v>
      </c>
      <c r="AI480" s="53" t="str">
        <f aca="false">IF(AND($P480="高",ISNUMBER($AF480)),INDEX(IDX_SrcDate,$AF480),"—")</f>
        <v>—</v>
      </c>
      <c r="AJ480" s="104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6" t="s">
        <v>4373</v>
      </c>
      <c r="B481" s="215" t="s">
        <v>4244</v>
      </c>
      <c r="C481" s="36" t="s">
        <v>4245</v>
      </c>
      <c r="D481" s="36" t="s">
        <v>4374</v>
      </c>
      <c r="E481" s="6" t="s">
        <v>1203</v>
      </c>
      <c r="F481" s="36" t="s">
        <v>84</v>
      </c>
      <c r="G481" s="215" t="s">
        <v>3185</v>
      </c>
      <c r="H481" s="36" t="s">
        <v>4375</v>
      </c>
      <c r="I481" s="19" t="s">
        <v>4376</v>
      </c>
      <c r="J481" s="36" t="s">
        <v>587</v>
      </c>
      <c r="K481" s="217" t="n">
        <v>33</v>
      </c>
      <c r="L481" s="217" t="n">
        <v>39</v>
      </c>
      <c r="M481" s="36" t="s">
        <v>4377</v>
      </c>
      <c r="N481" s="19" t="s">
        <v>4378</v>
      </c>
      <c r="O481" s="6" t="s">
        <v>4379</v>
      </c>
      <c r="P481" s="215" t="s">
        <v>3188</v>
      </c>
      <c r="Q481" s="183" t="n">
        <f aca="false">Cap_In!I53</f>
        <v>36</v>
      </c>
      <c r="R481" s="185" t="n">
        <f aca="false">SRC_CAP_007</f>
        <v>36</v>
      </c>
      <c r="S481" s="35" t="str">
        <f aca="false">IF(ISNUMBER($AF481),INDEX(IDX_SrcStat,$AF481),"—")</f>
        <v>Active</v>
      </c>
      <c r="T481" s="35" t="n">
        <f aca="false">IF(ISNUMBER($AF481),INDEX(IDX_SrcGrade,$AF481),"—")</f>
        <v>2</v>
      </c>
      <c r="U481" s="35" t="s">
        <v>3189</v>
      </c>
      <c r="V481" s="186" t="n">
        <f aca="false">IF(AND($F481="原始數據",$U481&lt;&gt;"連結 SRC"),1,0)</f>
        <v>0</v>
      </c>
      <c r="W481" s="186" t="n">
        <f aca="false">IF(AND($F481="Analogy",OR($H481="—",$H481="")),1,0)</f>
        <v>0</v>
      </c>
      <c r="X481" s="186" t="n">
        <f aca="false">IF(AND(OR($F481="Analogy",$F481="Assumed"),$G481&lt;&gt;"低",$G481&lt;&gt;"高",NOT(ISNUMBER($K481)),NOT(ISNUMBER($L481)),OR($M481="—",$M481="")),1,0)</f>
        <v>0</v>
      </c>
      <c r="Y481" s="186" t="n">
        <f aca="false">IF(AND(OR($F481="Analogy",$F481="Assumed",$F481="Derived（待改公式）",$F481="Derived（公式）"),OR($N481="—",$N481="",$N481=0)),1,0)</f>
        <v>0</v>
      </c>
      <c r="Z481" s="186" t="n">
        <f aca="false">IF(AND($F481="Decision",OR($J481="—",$J481="")),1,0)</f>
        <v>0</v>
      </c>
      <c r="AA481" s="183" t="n">
        <f aca="false">IF(OR($J481="—",$J481=""),0,IF(COUNTIF(Decisions!$A$5:$A$300,$J481)=0,1,0))</f>
        <v>0</v>
      </c>
      <c r="AB481" s="186" t="n">
        <f aca="false">IF(AND($F481="原始數據",$S481&lt;&gt;"Active"),1,0)</f>
        <v>0</v>
      </c>
      <c r="AC481" s="186" t="n">
        <f aca="false">IF(AND(ISNUMBER($K481),ISNUMBER($L481),ISNUMBER($Q481)),IF(OR($Q481&lt;MIN($K481,$L481),$Q481&gt;MAX($K481,$L481)),1,0),0)</f>
        <v>0</v>
      </c>
      <c r="AD481" s="186" t="n">
        <f aca="false">IF(AND(ISNUMBER($T481),$P481="高"),IF($T481=3,1,0),0)</f>
        <v>0</v>
      </c>
      <c r="AE481" s="186" t="n">
        <f aca="false">IF($S481="不存在",1,0)</f>
        <v>0</v>
      </c>
      <c r="AF481" s="35" t="n">
        <f aca="false">IF(OR($H481="—",$H481=""),"—",MATCH($H481,IDX_SrcID,0))</f>
        <v>498</v>
      </c>
      <c r="AG481" s="104" t="n">
        <f aca="false">IF(AND($P481="高",OR($AD481=1,$X481=1)),1,0)</f>
        <v>0</v>
      </c>
      <c r="AH481" s="104" t="n">
        <f aca="false">IF(AND($P481="高",$AG481=0,OR($F481&lt;&gt;"原始數據",$T481&lt;&gt;1)),1,0)</f>
        <v>0</v>
      </c>
      <c r="AI481" s="53" t="str">
        <f aca="false">IF(AND($P481="高",ISNUMBER($AF481)),INDEX(IDX_SrcDate,$AF481),"—")</f>
        <v>—</v>
      </c>
      <c r="AJ481" s="104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6" t="s">
        <v>4380</v>
      </c>
      <c r="B482" s="215" t="s">
        <v>4244</v>
      </c>
      <c r="C482" s="36" t="s">
        <v>4245</v>
      </c>
      <c r="D482" s="36" t="s">
        <v>4381</v>
      </c>
      <c r="E482" s="6" t="s">
        <v>1211</v>
      </c>
      <c r="F482" s="36" t="s">
        <v>84</v>
      </c>
      <c r="G482" s="215" t="s">
        <v>3185</v>
      </c>
      <c r="H482" s="36" t="s">
        <v>4382</v>
      </c>
      <c r="I482" s="19" t="s">
        <v>4383</v>
      </c>
      <c r="J482" s="36" t="s">
        <v>587</v>
      </c>
      <c r="K482" s="217" t="n">
        <v>37</v>
      </c>
      <c r="L482" s="217" t="n">
        <v>43</v>
      </c>
      <c r="M482" s="36" t="s">
        <v>4384</v>
      </c>
      <c r="N482" s="19" t="s">
        <v>4385</v>
      </c>
      <c r="O482" s="6" t="s">
        <v>4386</v>
      </c>
      <c r="P482" s="215" t="s">
        <v>3188</v>
      </c>
      <c r="Q482" s="183" t="n">
        <f aca="false">Cap_In!I56</f>
        <v>40</v>
      </c>
      <c r="R482" s="185" t="n">
        <f aca="false">SRC_CAP_006</f>
        <v>40</v>
      </c>
      <c r="S482" s="35" t="str">
        <f aca="false">IF(ISNUMBER($AF482),INDEX(IDX_SrcStat,$AF482),"—")</f>
        <v>Active</v>
      </c>
      <c r="T482" s="35" t="n">
        <f aca="false">IF(ISNUMBER($AF482),INDEX(IDX_SrcGrade,$AF482),"—")</f>
        <v>2</v>
      </c>
      <c r="U482" s="35" t="s">
        <v>3189</v>
      </c>
      <c r="V482" s="186" t="n">
        <f aca="false">IF(AND($F482="原始數據",$U482&lt;&gt;"連結 SRC"),1,0)</f>
        <v>0</v>
      </c>
      <c r="W482" s="186" t="n">
        <f aca="false">IF(AND($F482="Analogy",OR($H482="—",$H482="")),1,0)</f>
        <v>0</v>
      </c>
      <c r="X482" s="186" t="n">
        <f aca="false">IF(AND(OR($F482="Analogy",$F482="Assumed"),$G482&lt;&gt;"低",$G482&lt;&gt;"高",NOT(ISNUMBER($K482)),NOT(ISNUMBER($L482)),OR($M482="—",$M482="")),1,0)</f>
        <v>0</v>
      </c>
      <c r="Y482" s="186" t="n">
        <f aca="false">IF(AND(OR($F482="Analogy",$F482="Assumed",$F482="Derived（待改公式）",$F482="Derived（公式）"),OR($N482="—",$N482="",$N482=0)),1,0)</f>
        <v>0</v>
      </c>
      <c r="Z482" s="186" t="n">
        <f aca="false">IF(AND($F482="Decision",OR($J482="—",$J482="")),1,0)</f>
        <v>0</v>
      </c>
      <c r="AA482" s="183" t="n">
        <f aca="false">IF(OR($J482="—",$J482=""),0,IF(COUNTIF(Decisions!$A$5:$A$300,$J482)=0,1,0))</f>
        <v>0</v>
      </c>
      <c r="AB482" s="186" t="n">
        <f aca="false">IF(AND($F482="原始數據",$S482&lt;&gt;"Active"),1,0)</f>
        <v>0</v>
      </c>
      <c r="AC482" s="186" t="n">
        <f aca="false">IF(AND(ISNUMBER($K482),ISNUMBER($L482),ISNUMBER($Q482)),IF(OR($Q482&lt;MIN($K482,$L482),$Q482&gt;MAX($K482,$L482)),1,0),0)</f>
        <v>0</v>
      </c>
      <c r="AD482" s="186" t="n">
        <f aca="false">IF(AND(ISNUMBER($T482),$P482="高"),IF($T482=3,1,0),0)</f>
        <v>0</v>
      </c>
      <c r="AE482" s="186" t="n">
        <f aca="false">IF($S482="不存在",1,0)</f>
        <v>0</v>
      </c>
      <c r="AF482" s="35" t="n">
        <f aca="false">IF(OR($H482="—",$H482=""),"—",MATCH($H482,IDX_SrcID,0))</f>
        <v>497</v>
      </c>
      <c r="AG482" s="104" t="n">
        <f aca="false">IF(AND($P482="高",OR($AD482=1,$X482=1)),1,0)</f>
        <v>0</v>
      </c>
      <c r="AH482" s="104" t="n">
        <f aca="false">IF(AND($P482="高",$AG482=0,OR($F482&lt;&gt;"原始數據",$T482&lt;&gt;1)),1,0)</f>
        <v>0</v>
      </c>
      <c r="AI482" s="53" t="str">
        <f aca="false">IF(AND($P482="高",ISNUMBER($AF482)),INDEX(IDX_SrcDate,$AF482),"—")</f>
        <v>—</v>
      </c>
      <c r="AJ482" s="104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6" t="s">
        <v>4387</v>
      </c>
      <c r="B483" s="215" t="s">
        <v>4244</v>
      </c>
      <c r="C483" s="36" t="s">
        <v>4388</v>
      </c>
      <c r="D483" s="36" t="s">
        <v>3835</v>
      </c>
      <c r="E483" s="19" t="s">
        <v>4389</v>
      </c>
      <c r="F483" s="36" t="s">
        <v>72</v>
      </c>
      <c r="G483" s="215" t="s">
        <v>3185</v>
      </c>
      <c r="H483" s="36" t="s">
        <v>587</v>
      </c>
      <c r="I483" s="6" t="s">
        <v>587</v>
      </c>
      <c r="J483" s="36" t="s">
        <v>3902</v>
      </c>
      <c r="K483" s="215"/>
      <c r="L483" s="215"/>
      <c r="M483" s="215" t="s">
        <v>3102</v>
      </c>
      <c r="N483" s="6" t="s">
        <v>4390</v>
      </c>
      <c r="O483" s="6" t="s">
        <v>587</v>
      </c>
      <c r="P483" s="215" t="s">
        <v>3188</v>
      </c>
      <c r="Q483" s="183" t="n">
        <f aca="false">Har_In!C5</f>
        <v>2</v>
      </c>
      <c r="R483" s="36" t="s">
        <v>587</v>
      </c>
      <c r="S483" s="35" t="str">
        <f aca="false">IF(ISNUMBER($AF483),INDEX(IDX_SrcStat,$AF483),"—")</f>
        <v>—</v>
      </c>
      <c r="T483" s="35" t="str">
        <f aca="false">IF(ISNUMBER($AF483),INDEX(IDX_SrcGrade,$AF483),"—")</f>
        <v>—</v>
      </c>
      <c r="U483" s="35" t="s">
        <v>3189</v>
      </c>
      <c r="V483" s="186" t="n">
        <f aca="false">IF(AND($F483="原始數據",$U483&lt;&gt;"連結 SRC"),1,0)</f>
        <v>0</v>
      </c>
      <c r="W483" s="186" t="n">
        <f aca="false">IF(AND($F483="Analogy",OR($H483="—",$H483="")),1,0)</f>
        <v>0</v>
      </c>
      <c r="X483" s="186" t="n">
        <f aca="false">IF(AND(OR($F483="Analogy",$F483="Assumed"),$G483&lt;&gt;"低",$G483&lt;&gt;"高",NOT(ISNUMBER($K483)),NOT(ISNUMBER($L483)),OR($M483="—",$M483="")),1,0)</f>
        <v>0</v>
      </c>
      <c r="Y483" s="186" t="n">
        <f aca="false">IF(AND(OR($F483="Analogy",$F483="Assumed",$F483="Derived（待改公式）",$F483="Derived（公式）"),OR($N483="—",$N483="",$N483=0)),1,0)</f>
        <v>0</v>
      </c>
      <c r="Z483" s="186" t="n">
        <f aca="false">IF(AND($F483="Decision",OR($J483="—",$J483="")),1,0)</f>
        <v>0</v>
      </c>
      <c r="AA483" s="183" t="n">
        <f aca="false">IF(OR($J483="—",$J483=""),0,IF(COUNTIF(Decisions!$A$5:$A$300,$J483)=0,1,0))</f>
        <v>0</v>
      </c>
      <c r="AB483" s="186" t="n">
        <f aca="false">IF(AND($F483="原始數據",$S483&lt;&gt;"Active"),1,0)</f>
        <v>0</v>
      </c>
      <c r="AC483" s="186" t="n">
        <f aca="false">IF(AND(ISNUMBER($K483),ISNUMBER($L483),ISNUMBER($Q483)),IF(OR($Q483&lt;MIN($K483,$L483),$Q483&gt;MAX($K483,$L483)),1,0),0)</f>
        <v>0</v>
      </c>
      <c r="AD483" s="186" t="n">
        <f aca="false">IF(AND(ISNUMBER($T483),$P483="高"),IF($T483=3,1,0),0)</f>
        <v>0</v>
      </c>
      <c r="AE483" s="186" t="n">
        <f aca="false">IF($S483="不存在",1,0)</f>
        <v>0</v>
      </c>
      <c r="AF483" s="35" t="str">
        <f aca="false">IF(OR($H483="—",$H483=""),"—",MATCH($H483,IDX_SrcID,0))</f>
        <v>—</v>
      </c>
      <c r="AG483" s="104" t="n">
        <f aca="false">IF(AND($P483="高",OR($AD483=1,$X483=1)),1,0)</f>
        <v>0</v>
      </c>
      <c r="AH483" s="104" t="n">
        <f aca="false">IF(AND($P483="高",$AG483=0,OR($F483&lt;&gt;"原始數據",$T483&lt;&gt;1)),1,0)</f>
        <v>0</v>
      </c>
      <c r="AI483" s="53" t="str">
        <f aca="false">IF(AND($P483="高",ISNUMBER($AF483)),INDEX(IDX_SrcDate,$AF483),"—")</f>
        <v>—</v>
      </c>
      <c r="AJ483" s="104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6" t="s">
        <v>4391</v>
      </c>
      <c r="B484" s="215" t="s">
        <v>4244</v>
      </c>
      <c r="C484" s="36" t="s">
        <v>4388</v>
      </c>
      <c r="D484" s="36" t="s">
        <v>3355</v>
      </c>
      <c r="E484" s="19" t="s">
        <v>4392</v>
      </c>
      <c r="F484" s="36" t="s">
        <v>72</v>
      </c>
      <c r="G484" s="215" t="s">
        <v>3185</v>
      </c>
      <c r="H484" s="36" t="s">
        <v>587</v>
      </c>
      <c r="I484" s="6" t="s">
        <v>587</v>
      </c>
      <c r="J484" s="36" t="s">
        <v>4393</v>
      </c>
      <c r="K484" s="217" t="n">
        <v>0</v>
      </c>
      <c r="L484" s="217" t="n">
        <v>0.8</v>
      </c>
      <c r="M484" s="36" t="s">
        <v>4394</v>
      </c>
      <c r="N484" s="6" t="s">
        <v>4395</v>
      </c>
      <c r="O484" s="6" t="s">
        <v>587</v>
      </c>
      <c r="P484" s="215" t="s">
        <v>3188</v>
      </c>
      <c r="Q484" s="177" t="n">
        <f aca="false">Har_In!C8</f>
        <v>0.5</v>
      </c>
      <c r="R484" s="36" t="s">
        <v>587</v>
      </c>
      <c r="S484" s="35" t="str">
        <f aca="false">IF(ISNUMBER($AF484),INDEX(IDX_SrcStat,$AF484),"—")</f>
        <v>—</v>
      </c>
      <c r="T484" s="35" t="str">
        <f aca="false">IF(ISNUMBER($AF484),INDEX(IDX_SrcGrade,$AF484),"—")</f>
        <v>—</v>
      </c>
      <c r="U484" s="35" t="s">
        <v>3189</v>
      </c>
      <c r="V484" s="186" t="n">
        <f aca="false">IF(AND($F484="原始數據",$U484&lt;&gt;"連結 SRC"),1,0)</f>
        <v>0</v>
      </c>
      <c r="W484" s="186" t="n">
        <f aca="false">IF(AND($F484="Analogy",OR($H484="—",$H484="")),1,0)</f>
        <v>0</v>
      </c>
      <c r="X484" s="186" t="n">
        <f aca="false">IF(AND(OR($F484="Analogy",$F484="Assumed"),$G484&lt;&gt;"低",$G484&lt;&gt;"高",NOT(ISNUMBER($K484)),NOT(ISNUMBER($L484)),OR($M484="—",$M484="")),1,0)</f>
        <v>0</v>
      </c>
      <c r="Y484" s="186" t="n">
        <f aca="false">IF(AND(OR($F484="Analogy",$F484="Assumed",$F484="Derived（待改公式）",$F484="Derived（公式）"),OR($N484="—",$N484="",$N484=0)),1,0)</f>
        <v>0</v>
      </c>
      <c r="Z484" s="186" t="n">
        <f aca="false">IF(AND($F484="Decision",OR($J484="—",$J484="")),1,0)</f>
        <v>0</v>
      </c>
      <c r="AA484" s="183" t="n">
        <f aca="false">IF(OR($J484="—",$J484=""),0,IF(COUNTIF(Decisions!$A$5:$A$300,$J484)=0,1,0))</f>
        <v>0</v>
      </c>
      <c r="AB484" s="186" t="n">
        <f aca="false">IF(AND($F484="原始數據",$S484&lt;&gt;"Active"),1,0)</f>
        <v>0</v>
      </c>
      <c r="AC484" s="186" t="n">
        <f aca="false">IF(AND(ISNUMBER($K484),ISNUMBER($L484),ISNUMBER($Q484)),IF(OR($Q484&lt;MIN($K484,$L484),$Q484&gt;MAX($K484,$L484)),1,0),0)</f>
        <v>0</v>
      </c>
      <c r="AD484" s="186" t="n">
        <f aca="false">IF(AND(ISNUMBER($T484),$P484="高"),IF($T484=3,1,0),0)</f>
        <v>0</v>
      </c>
      <c r="AE484" s="186" t="n">
        <f aca="false">IF($S484="不存在",1,0)</f>
        <v>0</v>
      </c>
      <c r="AF484" s="35" t="str">
        <f aca="false">IF(OR($H484="—",$H484=""),"—",MATCH($H484,IDX_SrcID,0))</f>
        <v>—</v>
      </c>
      <c r="AG484" s="104" t="n">
        <f aca="false">IF(AND($P484="高",OR($AD484=1,$X484=1)),1,0)</f>
        <v>0</v>
      </c>
      <c r="AH484" s="104" t="n">
        <f aca="false">IF(AND($P484="高",$AG484=0,OR($F484&lt;&gt;"原始數據",$T484&lt;&gt;1)),1,0)</f>
        <v>0</v>
      </c>
      <c r="AI484" s="53" t="str">
        <f aca="false">IF(AND($P484="高",ISNUMBER($AF484)),INDEX(IDX_SrcDate,$AF484),"—")</f>
        <v>—</v>
      </c>
      <c r="AJ484" s="104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6" t="s">
        <v>4396</v>
      </c>
      <c r="B485" s="215" t="s">
        <v>4244</v>
      </c>
      <c r="C485" s="36" t="s">
        <v>4388</v>
      </c>
      <c r="D485" s="36" t="s">
        <v>4397</v>
      </c>
      <c r="E485" s="19" t="s">
        <v>1473</v>
      </c>
      <c r="F485" s="36" t="s">
        <v>80</v>
      </c>
      <c r="G485" s="215" t="s">
        <v>3930</v>
      </c>
      <c r="H485" s="36" t="s">
        <v>587</v>
      </c>
      <c r="I485" s="6" t="s">
        <v>587</v>
      </c>
      <c r="J485" s="36" t="s">
        <v>587</v>
      </c>
      <c r="K485" s="215"/>
      <c r="L485" s="215"/>
      <c r="M485" s="36" t="s">
        <v>4398</v>
      </c>
      <c r="N485" s="19" t="s">
        <v>4399</v>
      </c>
      <c r="O485" s="6" t="s">
        <v>587</v>
      </c>
      <c r="P485" s="215" t="s">
        <v>3188</v>
      </c>
      <c r="Q485" s="185" t="s">
        <v>587</v>
      </c>
      <c r="R485" s="36" t="s">
        <v>587</v>
      </c>
      <c r="S485" s="35" t="str">
        <f aca="false">IF(ISNUMBER($AF485),INDEX(IDX_SrcStat,$AF485),"—")</f>
        <v>—</v>
      </c>
      <c r="T485" s="35" t="str">
        <f aca="false">IF(ISNUMBER($AF485),INDEX(IDX_SrcGrade,$AF485),"—")</f>
        <v>—</v>
      </c>
      <c r="U485" s="36" t="s">
        <v>587</v>
      </c>
      <c r="V485" s="186" t="n">
        <f aca="false">IF(AND($F485="原始數據",$U485&lt;&gt;"連結 SRC"),1,0)</f>
        <v>0</v>
      </c>
      <c r="W485" s="186" t="n">
        <f aca="false">IF(AND($F485="Analogy",OR($H485="—",$H485="")),1,0)</f>
        <v>0</v>
      </c>
      <c r="X485" s="186" t="n">
        <f aca="false">IF(AND(OR($F485="Analogy",$F485="Assumed"),$G485&lt;&gt;"低",$G485&lt;&gt;"高",NOT(ISNUMBER($K485)),NOT(ISNUMBER($L485)),OR($M485="—",$M485="")),1,0)</f>
        <v>0</v>
      </c>
      <c r="Y485" s="186" t="n">
        <f aca="false">IF(AND(OR($F485="Analogy",$F485="Assumed",$F485="Derived（待改公式）",$F485="Derived（公式）"),OR($N485="—",$N485="",$N485=0)),1,0)</f>
        <v>0</v>
      </c>
      <c r="Z485" s="186" t="n">
        <f aca="false">IF(AND($F485="Decision",OR($J485="—",$J485="")),1,0)</f>
        <v>0</v>
      </c>
      <c r="AA485" s="183" t="n">
        <f aca="false">IF(OR($J485="—",$J485=""),0,IF(COUNTIF(Decisions!$A$5:$A$300,$J485)=0,1,0))</f>
        <v>0</v>
      </c>
      <c r="AB485" s="186" t="n">
        <f aca="false">IF(AND($F485="原始數據",$S485&lt;&gt;"Active"),1,0)</f>
        <v>0</v>
      </c>
      <c r="AC485" s="186" t="n">
        <f aca="false">IF(AND(ISNUMBER($K485),ISNUMBER($L485),ISNUMBER($Q485)),IF(OR($Q485&lt;MIN($K485,$L485),$Q485&gt;MAX($K485,$L485)),1,0),0)</f>
        <v>0</v>
      </c>
      <c r="AD485" s="186" t="n">
        <f aca="false">IF(AND(ISNUMBER($T485),$P485="高"),IF($T485=3,1,0),0)</f>
        <v>0</v>
      </c>
      <c r="AE485" s="186" t="n">
        <f aca="false">IF($S485="不存在",1,0)</f>
        <v>0</v>
      </c>
      <c r="AF485" s="35" t="str">
        <f aca="false">IF(OR($H485="—",$H485=""),"—",MATCH($H485,IDX_SrcID,0))</f>
        <v>—</v>
      </c>
      <c r="AG485" s="104" t="n">
        <f aca="false">IF(AND($P485="高",OR($AD485=1,$X485=1)),1,0)</f>
        <v>0</v>
      </c>
      <c r="AH485" s="104" t="n">
        <f aca="false">IF(AND($P485="高",$AG485=0,OR($F485&lt;&gt;"原始數據",$T485&lt;&gt;1)),1,0)</f>
        <v>0</v>
      </c>
      <c r="AI485" s="53" t="str">
        <f aca="false">IF(AND($P485="高",ISNUMBER($AF485)),INDEX(IDX_SrcDate,$AF485),"—")</f>
        <v>—</v>
      </c>
      <c r="AJ485" s="104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6" t="s">
        <v>4400</v>
      </c>
      <c r="B486" s="215" t="s">
        <v>4244</v>
      </c>
      <c r="C486" s="36" t="s">
        <v>4388</v>
      </c>
      <c r="D486" s="36" t="s">
        <v>4401</v>
      </c>
      <c r="E486" s="19" t="s">
        <v>4402</v>
      </c>
      <c r="F486" s="36" t="s">
        <v>80</v>
      </c>
      <c r="G486" s="215" t="s">
        <v>3930</v>
      </c>
      <c r="H486" s="36" t="s">
        <v>587</v>
      </c>
      <c r="I486" s="6" t="s">
        <v>587</v>
      </c>
      <c r="J486" s="36" t="s">
        <v>587</v>
      </c>
      <c r="K486" s="215"/>
      <c r="L486" s="215"/>
      <c r="M486" s="36" t="s">
        <v>4403</v>
      </c>
      <c r="N486" s="19" t="s">
        <v>4404</v>
      </c>
      <c r="O486" s="6" t="s">
        <v>4405</v>
      </c>
      <c r="P486" s="215" t="s">
        <v>3188</v>
      </c>
      <c r="Q486" s="185" t="s">
        <v>587</v>
      </c>
      <c r="R486" s="36" t="s">
        <v>587</v>
      </c>
      <c r="S486" s="35" t="str">
        <f aca="false">IF(ISNUMBER($AF486),INDEX(IDX_SrcStat,$AF486),"—")</f>
        <v>—</v>
      </c>
      <c r="T486" s="35" t="str">
        <f aca="false">IF(ISNUMBER($AF486),INDEX(IDX_SrcGrade,$AF486),"—")</f>
        <v>—</v>
      </c>
      <c r="U486" s="36" t="s">
        <v>587</v>
      </c>
      <c r="V486" s="186" t="n">
        <f aca="false">IF(AND($F486="原始數據",$U486&lt;&gt;"連結 SRC"),1,0)</f>
        <v>0</v>
      </c>
      <c r="W486" s="186" t="n">
        <f aca="false">IF(AND($F486="Analogy",OR($H486="—",$H486="")),1,0)</f>
        <v>0</v>
      </c>
      <c r="X486" s="186" t="n">
        <f aca="false">IF(AND(OR($F486="Analogy",$F486="Assumed"),$G486&lt;&gt;"低",$G486&lt;&gt;"高",NOT(ISNUMBER($K486)),NOT(ISNUMBER($L486)),OR($M486="—",$M486="")),1,0)</f>
        <v>0</v>
      </c>
      <c r="Y486" s="186" t="n">
        <f aca="false">IF(AND(OR($F486="Analogy",$F486="Assumed",$F486="Derived（待改公式）",$F486="Derived（公式）"),OR($N486="—",$N486="",$N486=0)),1,0)</f>
        <v>0</v>
      </c>
      <c r="Z486" s="186" t="n">
        <f aca="false">IF(AND($F486="Decision",OR($J486="—",$J486="")),1,0)</f>
        <v>0</v>
      </c>
      <c r="AA486" s="183" t="n">
        <f aca="false">IF(OR($J486="—",$J486=""),0,IF(COUNTIF(Decisions!$A$5:$A$300,$J486)=0,1,0))</f>
        <v>0</v>
      </c>
      <c r="AB486" s="186" t="n">
        <f aca="false">IF(AND($F486="原始數據",$S486&lt;&gt;"Active"),1,0)</f>
        <v>0</v>
      </c>
      <c r="AC486" s="186" t="n">
        <f aca="false">IF(AND(ISNUMBER($K486),ISNUMBER($L486),ISNUMBER($Q486)),IF(OR($Q486&lt;MIN($K486,$L486),$Q486&gt;MAX($K486,$L486)),1,0),0)</f>
        <v>0</v>
      </c>
      <c r="AD486" s="186" t="n">
        <f aca="false">IF(AND(ISNUMBER($T486),$P486="高"),IF($T486=3,1,0),0)</f>
        <v>0</v>
      </c>
      <c r="AE486" s="186" t="n">
        <f aca="false">IF($S486="不存在",1,0)</f>
        <v>0</v>
      </c>
      <c r="AF486" s="35" t="str">
        <f aca="false">IF(OR($H486="—",$H486=""),"—",MATCH($H486,IDX_SrcID,0))</f>
        <v>—</v>
      </c>
      <c r="AG486" s="104" t="n">
        <f aca="false">IF(AND($P486="高",OR($AD486=1,$X486=1)),1,0)</f>
        <v>0</v>
      </c>
      <c r="AH486" s="104" t="n">
        <f aca="false">IF(AND($P486="高",$AG486=0,OR($F486&lt;&gt;"原始數據",$T486&lt;&gt;1)),1,0)</f>
        <v>0</v>
      </c>
      <c r="AI486" s="53" t="str">
        <f aca="false">IF(AND($P486="高",ISNUMBER($AF486)),INDEX(IDX_SrcDate,$AF486),"—")</f>
        <v>—</v>
      </c>
      <c r="AJ486" s="104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6" t="s">
        <v>4406</v>
      </c>
      <c r="B487" s="215" t="s">
        <v>4244</v>
      </c>
      <c r="C487" s="36" t="s">
        <v>4388</v>
      </c>
      <c r="D487" s="36" t="s">
        <v>4407</v>
      </c>
      <c r="E487" s="19" t="s">
        <v>1478</v>
      </c>
      <c r="F487" s="36" t="s">
        <v>80</v>
      </c>
      <c r="G487" s="215" t="s">
        <v>3930</v>
      </c>
      <c r="H487" s="36" t="s">
        <v>587</v>
      </c>
      <c r="I487" s="6" t="s">
        <v>587</v>
      </c>
      <c r="J487" s="36" t="s">
        <v>587</v>
      </c>
      <c r="K487" s="215"/>
      <c r="L487" s="215"/>
      <c r="M487" s="36" t="s">
        <v>4408</v>
      </c>
      <c r="N487" s="19" t="s">
        <v>4409</v>
      </c>
      <c r="O487" s="6" t="s">
        <v>587</v>
      </c>
      <c r="P487" s="215" t="s">
        <v>3188</v>
      </c>
      <c r="Q487" s="185" t="s">
        <v>587</v>
      </c>
      <c r="R487" s="36" t="s">
        <v>587</v>
      </c>
      <c r="S487" s="35" t="str">
        <f aca="false">IF(ISNUMBER($AF487),INDEX(IDX_SrcStat,$AF487),"—")</f>
        <v>—</v>
      </c>
      <c r="T487" s="35" t="str">
        <f aca="false">IF(ISNUMBER($AF487),INDEX(IDX_SrcGrade,$AF487),"—")</f>
        <v>—</v>
      </c>
      <c r="U487" s="36" t="s">
        <v>587</v>
      </c>
      <c r="V487" s="186" t="n">
        <f aca="false">IF(AND($F487="原始數據",$U487&lt;&gt;"連結 SRC"),1,0)</f>
        <v>0</v>
      </c>
      <c r="W487" s="186" t="n">
        <f aca="false">IF(AND($F487="Analogy",OR($H487="—",$H487="")),1,0)</f>
        <v>0</v>
      </c>
      <c r="X487" s="186" t="n">
        <f aca="false">IF(AND(OR($F487="Analogy",$F487="Assumed"),$G487&lt;&gt;"低",$G487&lt;&gt;"高",NOT(ISNUMBER($K487)),NOT(ISNUMBER($L487)),OR($M487="—",$M487="")),1,0)</f>
        <v>0</v>
      </c>
      <c r="Y487" s="186" t="n">
        <f aca="false">IF(AND(OR($F487="Analogy",$F487="Assumed",$F487="Derived（待改公式）",$F487="Derived（公式）"),OR($N487="—",$N487="",$N487=0)),1,0)</f>
        <v>0</v>
      </c>
      <c r="Z487" s="186" t="n">
        <f aca="false">IF(AND($F487="Decision",OR($J487="—",$J487="")),1,0)</f>
        <v>0</v>
      </c>
      <c r="AA487" s="183" t="n">
        <f aca="false">IF(OR($J487="—",$J487=""),0,IF(COUNTIF(Decisions!$A$5:$A$300,$J487)=0,1,0))</f>
        <v>0</v>
      </c>
      <c r="AB487" s="186" t="n">
        <f aca="false">IF(AND($F487="原始數據",$S487&lt;&gt;"Active"),1,0)</f>
        <v>0</v>
      </c>
      <c r="AC487" s="186" t="n">
        <f aca="false">IF(AND(ISNUMBER($K487),ISNUMBER($L487),ISNUMBER($Q487)),IF(OR($Q487&lt;MIN($K487,$L487),$Q487&gt;MAX($K487,$L487)),1,0),0)</f>
        <v>0</v>
      </c>
      <c r="AD487" s="186" t="n">
        <f aca="false">IF(AND(ISNUMBER($T487),$P487="高"),IF($T487=3,1,0),0)</f>
        <v>0</v>
      </c>
      <c r="AE487" s="186" t="n">
        <f aca="false">IF($S487="不存在",1,0)</f>
        <v>0</v>
      </c>
      <c r="AF487" s="35" t="str">
        <f aca="false">IF(OR($H487="—",$H487=""),"—",MATCH($H487,IDX_SrcID,0))</f>
        <v>—</v>
      </c>
      <c r="AG487" s="104" t="n">
        <f aca="false">IF(AND($P487="高",OR($AD487=1,$X487=1)),1,0)</f>
        <v>0</v>
      </c>
      <c r="AH487" s="104" t="n">
        <f aca="false">IF(AND($P487="高",$AG487=0,OR($F487&lt;&gt;"原始數據",$T487&lt;&gt;1)),1,0)</f>
        <v>0</v>
      </c>
      <c r="AI487" s="53" t="str">
        <f aca="false">IF(AND($P487="高",ISNUMBER($AF487)),INDEX(IDX_SrcDate,$AF487),"—")</f>
        <v>—</v>
      </c>
      <c r="AJ487" s="104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6" t="s">
        <v>4410</v>
      </c>
      <c r="B488" s="215" t="s">
        <v>4244</v>
      </c>
      <c r="C488" s="36" t="s">
        <v>4388</v>
      </c>
      <c r="D488" s="36" t="s">
        <v>4411</v>
      </c>
      <c r="E488" s="19" t="s">
        <v>4412</v>
      </c>
      <c r="F488" s="36" t="s">
        <v>80</v>
      </c>
      <c r="G488" s="215" t="s">
        <v>3930</v>
      </c>
      <c r="H488" s="36" t="s">
        <v>587</v>
      </c>
      <c r="I488" s="6" t="s">
        <v>587</v>
      </c>
      <c r="J488" s="36" t="s">
        <v>587</v>
      </c>
      <c r="K488" s="215"/>
      <c r="L488" s="215"/>
      <c r="M488" s="36" t="s">
        <v>4413</v>
      </c>
      <c r="N488" s="19" t="s">
        <v>4414</v>
      </c>
      <c r="O488" s="6" t="s">
        <v>587</v>
      </c>
      <c r="P488" s="215" t="s">
        <v>3188</v>
      </c>
      <c r="Q488" s="185" t="s">
        <v>587</v>
      </c>
      <c r="R488" s="36" t="s">
        <v>587</v>
      </c>
      <c r="S488" s="35" t="str">
        <f aca="false">IF(ISNUMBER($AF488),INDEX(IDX_SrcStat,$AF488),"—")</f>
        <v>—</v>
      </c>
      <c r="T488" s="35" t="str">
        <f aca="false">IF(ISNUMBER($AF488),INDEX(IDX_SrcGrade,$AF488),"—")</f>
        <v>—</v>
      </c>
      <c r="U488" s="36" t="s">
        <v>587</v>
      </c>
      <c r="V488" s="186" t="n">
        <f aca="false">IF(AND($F488="原始數據",$U488&lt;&gt;"連結 SRC"),1,0)</f>
        <v>0</v>
      </c>
      <c r="W488" s="186" t="n">
        <f aca="false">IF(AND($F488="Analogy",OR($H488="—",$H488="")),1,0)</f>
        <v>0</v>
      </c>
      <c r="X488" s="186" t="n">
        <f aca="false">IF(AND(OR($F488="Analogy",$F488="Assumed"),$G488&lt;&gt;"低",$G488&lt;&gt;"高",NOT(ISNUMBER($K488)),NOT(ISNUMBER($L488)),OR($M488="—",$M488="")),1,0)</f>
        <v>0</v>
      </c>
      <c r="Y488" s="186" t="n">
        <f aca="false">IF(AND(OR($F488="Analogy",$F488="Assumed",$F488="Derived（待改公式）",$F488="Derived（公式）"),OR($N488="—",$N488="",$N488=0)),1,0)</f>
        <v>0</v>
      </c>
      <c r="Z488" s="186" t="n">
        <f aca="false">IF(AND($F488="Decision",OR($J488="—",$J488="")),1,0)</f>
        <v>0</v>
      </c>
      <c r="AA488" s="183" t="n">
        <f aca="false">IF(OR($J488="—",$J488=""),0,IF(COUNTIF(Decisions!$A$5:$A$300,$J488)=0,1,0))</f>
        <v>0</v>
      </c>
      <c r="AB488" s="186" t="n">
        <f aca="false">IF(AND($F488="原始數據",$S488&lt;&gt;"Active"),1,0)</f>
        <v>0</v>
      </c>
      <c r="AC488" s="186" t="n">
        <f aca="false">IF(AND(ISNUMBER($K488),ISNUMBER($L488),ISNUMBER($Q488)),IF(OR($Q488&lt;MIN($K488,$L488),$Q488&gt;MAX($K488,$L488)),1,0),0)</f>
        <v>0</v>
      </c>
      <c r="AD488" s="186" t="n">
        <f aca="false">IF(AND(ISNUMBER($T488),$P488="高"),IF($T488=3,1,0),0)</f>
        <v>0</v>
      </c>
      <c r="AE488" s="186" t="n">
        <f aca="false">IF($S488="不存在",1,0)</f>
        <v>0</v>
      </c>
      <c r="AF488" s="35" t="str">
        <f aca="false">IF(OR($H488="—",$H488=""),"—",MATCH($H488,IDX_SrcID,0))</f>
        <v>—</v>
      </c>
      <c r="AG488" s="104" t="n">
        <f aca="false">IF(AND($P488="高",OR($AD488=1,$X488=1)),1,0)</f>
        <v>0</v>
      </c>
      <c r="AH488" s="104" t="n">
        <f aca="false">IF(AND($P488="高",$AG488=0,OR($F488&lt;&gt;"原始數據",$T488&lt;&gt;1)),1,0)</f>
        <v>0</v>
      </c>
      <c r="AI488" s="53" t="str">
        <f aca="false">IF(AND($P488="高",ISNUMBER($AF488)),INDEX(IDX_SrcDate,$AF488),"—")</f>
        <v>—</v>
      </c>
      <c r="AJ488" s="104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6" t="s">
        <v>4415</v>
      </c>
      <c r="B489" s="215" t="s">
        <v>4244</v>
      </c>
      <c r="C489" s="36" t="s">
        <v>4388</v>
      </c>
      <c r="D489" s="36" t="s">
        <v>4416</v>
      </c>
      <c r="E489" s="19" t="s">
        <v>1482</v>
      </c>
      <c r="F489" s="36" t="s">
        <v>80</v>
      </c>
      <c r="G489" s="215" t="s">
        <v>3930</v>
      </c>
      <c r="H489" s="36" t="s">
        <v>587</v>
      </c>
      <c r="I489" s="6" t="s">
        <v>587</v>
      </c>
      <c r="J489" s="36" t="s">
        <v>587</v>
      </c>
      <c r="K489" s="215"/>
      <c r="L489" s="215"/>
      <c r="M489" s="36" t="s">
        <v>4417</v>
      </c>
      <c r="N489" s="19" t="s">
        <v>4418</v>
      </c>
      <c r="O489" s="6" t="s">
        <v>587</v>
      </c>
      <c r="P489" s="215" t="s">
        <v>3188</v>
      </c>
      <c r="Q489" s="185" t="s">
        <v>587</v>
      </c>
      <c r="R489" s="36" t="s">
        <v>587</v>
      </c>
      <c r="S489" s="35" t="str">
        <f aca="false">IF(ISNUMBER($AF489),INDEX(IDX_SrcStat,$AF489),"—")</f>
        <v>—</v>
      </c>
      <c r="T489" s="35" t="str">
        <f aca="false">IF(ISNUMBER($AF489),INDEX(IDX_SrcGrade,$AF489),"—")</f>
        <v>—</v>
      </c>
      <c r="U489" s="36" t="s">
        <v>587</v>
      </c>
      <c r="V489" s="186" t="n">
        <f aca="false">IF(AND($F489="原始數據",$U489&lt;&gt;"連結 SRC"),1,0)</f>
        <v>0</v>
      </c>
      <c r="W489" s="186" t="n">
        <f aca="false">IF(AND($F489="Analogy",OR($H489="—",$H489="")),1,0)</f>
        <v>0</v>
      </c>
      <c r="X489" s="186" t="n">
        <f aca="false">IF(AND(OR($F489="Analogy",$F489="Assumed"),$G489&lt;&gt;"低",$G489&lt;&gt;"高",NOT(ISNUMBER($K489)),NOT(ISNUMBER($L489)),OR($M489="—",$M489="")),1,0)</f>
        <v>0</v>
      </c>
      <c r="Y489" s="186" t="n">
        <f aca="false">IF(AND(OR($F489="Analogy",$F489="Assumed",$F489="Derived（待改公式）",$F489="Derived（公式）"),OR($N489="—",$N489="",$N489=0)),1,0)</f>
        <v>0</v>
      </c>
      <c r="Z489" s="186" t="n">
        <f aca="false">IF(AND($F489="Decision",OR($J489="—",$J489="")),1,0)</f>
        <v>0</v>
      </c>
      <c r="AA489" s="183" t="n">
        <f aca="false">IF(OR($J489="—",$J489=""),0,IF(COUNTIF(Decisions!$A$5:$A$300,$J489)=0,1,0))</f>
        <v>0</v>
      </c>
      <c r="AB489" s="186" t="n">
        <f aca="false">IF(AND($F489="原始數據",$S489&lt;&gt;"Active"),1,0)</f>
        <v>0</v>
      </c>
      <c r="AC489" s="186" t="n">
        <f aca="false">IF(AND(ISNUMBER($K489),ISNUMBER($L489),ISNUMBER($Q489)),IF(OR($Q489&lt;MIN($K489,$L489),$Q489&gt;MAX($K489,$L489)),1,0),0)</f>
        <v>0</v>
      </c>
      <c r="AD489" s="186" t="n">
        <f aca="false">IF(AND(ISNUMBER($T489),$P489="高"),IF($T489=3,1,0),0)</f>
        <v>0</v>
      </c>
      <c r="AE489" s="186" t="n">
        <f aca="false">IF($S489="不存在",1,0)</f>
        <v>0</v>
      </c>
      <c r="AF489" s="35" t="str">
        <f aca="false">IF(OR($H489="—",$H489=""),"—",MATCH($H489,IDX_SrcID,0))</f>
        <v>—</v>
      </c>
      <c r="AG489" s="104" t="n">
        <f aca="false">IF(AND($P489="高",OR($AD489=1,$X489=1)),1,0)</f>
        <v>0</v>
      </c>
      <c r="AH489" s="104" t="n">
        <f aca="false">IF(AND($P489="高",$AG489=0,OR($F489&lt;&gt;"原始數據",$T489&lt;&gt;1)),1,0)</f>
        <v>0</v>
      </c>
      <c r="AI489" s="53" t="str">
        <f aca="false">IF(AND($P489="高",ISNUMBER($AF489)),INDEX(IDX_SrcDate,$AF489),"—")</f>
        <v>—</v>
      </c>
      <c r="AJ489" s="104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6" t="s">
        <v>4419</v>
      </c>
      <c r="B490" s="215" t="s">
        <v>4244</v>
      </c>
      <c r="C490" s="36" t="s">
        <v>4388</v>
      </c>
      <c r="D490" s="36" t="s">
        <v>4420</v>
      </c>
      <c r="E490" s="19" t="s">
        <v>1485</v>
      </c>
      <c r="F490" s="36" t="s">
        <v>80</v>
      </c>
      <c r="G490" s="215" t="s">
        <v>3930</v>
      </c>
      <c r="H490" s="36" t="s">
        <v>587</v>
      </c>
      <c r="I490" s="6" t="s">
        <v>587</v>
      </c>
      <c r="J490" s="36" t="s">
        <v>587</v>
      </c>
      <c r="K490" s="215"/>
      <c r="L490" s="215"/>
      <c r="M490" s="36" t="s">
        <v>4421</v>
      </c>
      <c r="N490" s="19" t="s">
        <v>4422</v>
      </c>
      <c r="O490" s="6" t="s">
        <v>587</v>
      </c>
      <c r="P490" s="215" t="s">
        <v>3188</v>
      </c>
      <c r="Q490" s="185" t="s">
        <v>587</v>
      </c>
      <c r="R490" s="36" t="s">
        <v>587</v>
      </c>
      <c r="S490" s="35" t="str">
        <f aca="false">IF(ISNUMBER($AF490),INDEX(IDX_SrcStat,$AF490),"—")</f>
        <v>—</v>
      </c>
      <c r="T490" s="35" t="str">
        <f aca="false">IF(ISNUMBER($AF490),INDEX(IDX_SrcGrade,$AF490),"—")</f>
        <v>—</v>
      </c>
      <c r="U490" s="36" t="s">
        <v>587</v>
      </c>
      <c r="V490" s="186" t="n">
        <f aca="false">IF(AND($F490="原始數據",$U490&lt;&gt;"連結 SRC"),1,0)</f>
        <v>0</v>
      </c>
      <c r="W490" s="186" t="n">
        <f aca="false">IF(AND($F490="Analogy",OR($H490="—",$H490="")),1,0)</f>
        <v>0</v>
      </c>
      <c r="X490" s="186" t="n">
        <f aca="false">IF(AND(OR($F490="Analogy",$F490="Assumed"),$G490&lt;&gt;"低",$G490&lt;&gt;"高",NOT(ISNUMBER($K490)),NOT(ISNUMBER($L490)),OR($M490="—",$M490="")),1,0)</f>
        <v>0</v>
      </c>
      <c r="Y490" s="186" t="n">
        <f aca="false">IF(AND(OR($F490="Analogy",$F490="Assumed",$F490="Derived（待改公式）",$F490="Derived（公式）"),OR($N490="—",$N490="",$N490=0)),1,0)</f>
        <v>0</v>
      </c>
      <c r="Z490" s="186" t="n">
        <f aca="false">IF(AND($F490="Decision",OR($J490="—",$J490="")),1,0)</f>
        <v>0</v>
      </c>
      <c r="AA490" s="183" t="n">
        <f aca="false">IF(OR($J490="—",$J490=""),0,IF(COUNTIF(Decisions!$A$5:$A$300,$J490)=0,1,0))</f>
        <v>0</v>
      </c>
      <c r="AB490" s="186" t="n">
        <f aca="false">IF(AND($F490="原始數據",$S490&lt;&gt;"Active"),1,0)</f>
        <v>0</v>
      </c>
      <c r="AC490" s="186" t="n">
        <f aca="false">IF(AND(ISNUMBER($K490),ISNUMBER($L490),ISNUMBER($Q490)),IF(OR($Q490&lt;MIN($K490,$L490),$Q490&gt;MAX($K490,$L490)),1,0),0)</f>
        <v>0</v>
      </c>
      <c r="AD490" s="186" t="n">
        <f aca="false">IF(AND(ISNUMBER($T490),$P490="高"),IF($T490=3,1,0),0)</f>
        <v>0</v>
      </c>
      <c r="AE490" s="186" t="n">
        <f aca="false">IF($S490="不存在",1,0)</f>
        <v>0</v>
      </c>
      <c r="AF490" s="35" t="str">
        <f aca="false">IF(OR($H490="—",$H490=""),"—",MATCH($H490,IDX_SrcID,0))</f>
        <v>—</v>
      </c>
      <c r="AG490" s="104" t="n">
        <f aca="false">IF(AND($P490="高",OR($AD490=1,$X490=1)),1,0)</f>
        <v>0</v>
      </c>
      <c r="AH490" s="104" t="n">
        <f aca="false">IF(AND($P490="高",$AG490=0,OR($F490&lt;&gt;"原始數據",$T490&lt;&gt;1)),1,0)</f>
        <v>0</v>
      </c>
      <c r="AI490" s="53" t="str">
        <f aca="false">IF(AND($P490="高",ISNUMBER($AF490)),INDEX(IDX_SrcDate,$AF490),"—")</f>
        <v>—</v>
      </c>
      <c r="AJ490" s="104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6" t="s">
        <v>4423</v>
      </c>
      <c r="B491" s="215" t="s">
        <v>4244</v>
      </c>
      <c r="C491" s="36" t="s">
        <v>4388</v>
      </c>
      <c r="D491" s="36" t="s">
        <v>4424</v>
      </c>
      <c r="E491" s="19" t="s">
        <v>1489</v>
      </c>
      <c r="F491" s="36" t="s">
        <v>80</v>
      </c>
      <c r="G491" s="215" t="s">
        <v>3930</v>
      </c>
      <c r="H491" s="36" t="s">
        <v>587</v>
      </c>
      <c r="I491" s="6" t="s">
        <v>587</v>
      </c>
      <c r="J491" s="36" t="s">
        <v>587</v>
      </c>
      <c r="K491" s="215"/>
      <c r="L491" s="215"/>
      <c r="M491" s="36" t="s">
        <v>4425</v>
      </c>
      <c r="N491" s="19" t="s">
        <v>4426</v>
      </c>
      <c r="O491" s="6" t="s">
        <v>587</v>
      </c>
      <c r="P491" s="215" t="s">
        <v>3188</v>
      </c>
      <c r="Q491" s="185" t="s">
        <v>587</v>
      </c>
      <c r="R491" s="36" t="s">
        <v>587</v>
      </c>
      <c r="S491" s="35" t="str">
        <f aca="false">IF(ISNUMBER($AF491),INDEX(IDX_SrcStat,$AF491),"—")</f>
        <v>—</v>
      </c>
      <c r="T491" s="35" t="str">
        <f aca="false">IF(ISNUMBER($AF491),INDEX(IDX_SrcGrade,$AF491),"—")</f>
        <v>—</v>
      </c>
      <c r="U491" s="36" t="s">
        <v>587</v>
      </c>
      <c r="V491" s="186" t="n">
        <f aca="false">IF(AND($F491="原始數據",$U491&lt;&gt;"連結 SRC"),1,0)</f>
        <v>0</v>
      </c>
      <c r="W491" s="186" t="n">
        <f aca="false">IF(AND($F491="Analogy",OR($H491="—",$H491="")),1,0)</f>
        <v>0</v>
      </c>
      <c r="X491" s="186" t="n">
        <f aca="false">IF(AND(OR($F491="Analogy",$F491="Assumed"),$G491&lt;&gt;"低",$G491&lt;&gt;"高",NOT(ISNUMBER($K491)),NOT(ISNUMBER($L491)),OR($M491="—",$M491="")),1,0)</f>
        <v>0</v>
      </c>
      <c r="Y491" s="186" t="n">
        <f aca="false">IF(AND(OR($F491="Analogy",$F491="Assumed",$F491="Derived（待改公式）",$F491="Derived（公式）"),OR($N491="—",$N491="",$N491=0)),1,0)</f>
        <v>0</v>
      </c>
      <c r="Z491" s="186" t="n">
        <f aca="false">IF(AND($F491="Decision",OR($J491="—",$J491="")),1,0)</f>
        <v>0</v>
      </c>
      <c r="AA491" s="183" t="n">
        <f aca="false">IF(OR($J491="—",$J491=""),0,IF(COUNTIF(Decisions!$A$5:$A$300,$J491)=0,1,0))</f>
        <v>0</v>
      </c>
      <c r="AB491" s="186" t="n">
        <f aca="false">IF(AND($F491="原始數據",$S491&lt;&gt;"Active"),1,0)</f>
        <v>0</v>
      </c>
      <c r="AC491" s="186" t="n">
        <f aca="false">IF(AND(ISNUMBER($K491),ISNUMBER($L491),ISNUMBER($Q491)),IF(OR($Q491&lt;MIN($K491,$L491),$Q491&gt;MAX($K491,$L491)),1,0),0)</f>
        <v>0</v>
      </c>
      <c r="AD491" s="186" t="n">
        <f aca="false">IF(AND(ISNUMBER($T491),$P491="高"),IF($T491=3,1,0),0)</f>
        <v>0</v>
      </c>
      <c r="AE491" s="186" t="n">
        <f aca="false">IF($S491="不存在",1,0)</f>
        <v>0</v>
      </c>
      <c r="AF491" s="35" t="str">
        <f aca="false">IF(OR($H491="—",$H491=""),"—",MATCH($H491,IDX_SrcID,0))</f>
        <v>—</v>
      </c>
      <c r="AG491" s="104" t="n">
        <f aca="false">IF(AND($P491="高",OR($AD491=1,$X491=1)),1,0)</f>
        <v>0</v>
      </c>
      <c r="AH491" s="104" t="n">
        <f aca="false">IF(AND($P491="高",$AG491=0,OR($F491&lt;&gt;"原始數據",$T491&lt;&gt;1)),1,0)</f>
        <v>0</v>
      </c>
      <c r="AI491" s="53" t="str">
        <f aca="false">IF(AND($P491="高",ISNUMBER($AF491)),INDEX(IDX_SrcDate,$AF491),"—")</f>
        <v>—</v>
      </c>
      <c r="AJ491" s="104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6" t="s">
        <v>4427</v>
      </c>
      <c r="B492" s="215" t="s">
        <v>4244</v>
      </c>
      <c r="C492" s="36" t="s">
        <v>4388</v>
      </c>
      <c r="D492" s="36" t="s">
        <v>4428</v>
      </c>
      <c r="E492" s="19" t="s">
        <v>1487</v>
      </c>
      <c r="F492" s="36" t="s">
        <v>84</v>
      </c>
      <c r="G492" s="215" t="s">
        <v>3930</v>
      </c>
      <c r="H492" s="36" t="s">
        <v>4429</v>
      </c>
      <c r="I492" s="19" t="s">
        <v>4430</v>
      </c>
      <c r="J492" s="36" t="s">
        <v>587</v>
      </c>
      <c r="K492" s="215"/>
      <c r="L492" s="215"/>
      <c r="M492" s="36" t="s">
        <v>4431</v>
      </c>
      <c r="N492" s="19" t="s">
        <v>4432</v>
      </c>
      <c r="O492" s="6" t="s">
        <v>587</v>
      </c>
      <c r="P492" s="215" t="s">
        <v>3188</v>
      </c>
      <c r="Q492" s="185" t="s">
        <v>587</v>
      </c>
      <c r="R492" s="185" t="n">
        <f aca="false">SRC_HAR_003</f>
        <v>0.627</v>
      </c>
      <c r="S492" s="35" t="str">
        <f aca="false">IF(ISNUMBER($AF492),INDEX(IDX_SrcStat,$AF492),"—")</f>
        <v>Active</v>
      </c>
      <c r="T492" s="35" t="n">
        <f aca="false">IF(ISNUMBER($AF492),INDEX(IDX_SrcGrade,$AF492),"—")</f>
        <v>2</v>
      </c>
      <c r="U492" s="36" t="s">
        <v>587</v>
      </c>
      <c r="V492" s="186" t="n">
        <f aca="false">IF(AND($F492="原始數據",$U492&lt;&gt;"連結 SRC"),1,0)</f>
        <v>0</v>
      </c>
      <c r="W492" s="186" t="n">
        <f aca="false">IF(AND($F492="Analogy",OR($H492="—",$H492="")),1,0)</f>
        <v>0</v>
      </c>
      <c r="X492" s="186" t="n">
        <f aca="false">IF(AND(OR($F492="Analogy",$F492="Assumed"),$G492&lt;&gt;"低",$G492&lt;&gt;"高",NOT(ISNUMBER($K492)),NOT(ISNUMBER($L492)),OR($M492="—",$M492="")),1,0)</f>
        <v>0</v>
      </c>
      <c r="Y492" s="186" t="n">
        <f aca="false">IF(AND(OR($F492="Analogy",$F492="Assumed",$F492="Derived（待改公式）",$F492="Derived（公式）"),OR($N492="—",$N492="",$N492=0)),1,0)</f>
        <v>0</v>
      </c>
      <c r="Z492" s="186" t="n">
        <f aca="false">IF(AND($F492="Decision",OR($J492="—",$J492="")),1,0)</f>
        <v>0</v>
      </c>
      <c r="AA492" s="183" t="n">
        <f aca="false">IF(OR($J492="—",$J492=""),0,IF(COUNTIF(Decisions!$A$5:$A$300,$J492)=0,1,0))</f>
        <v>0</v>
      </c>
      <c r="AB492" s="186" t="n">
        <f aca="false">IF(AND($F492="原始數據",$S492&lt;&gt;"Active"),1,0)</f>
        <v>0</v>
      </c>
      <c r="AC492" s="186" t="n">
        <f aca="false">IF(AND(ISNUMBER($K492),ISNUMBER($L492),ISNUMBER($Q492)),IF(OR($Q492&lt;MIN($K492,$L492),$Q492&gt;MAX($K492,$L492)),1,0),0)</f>
        <v>0</v>
      </c>
      <c r="AD492" s="186" t="n">
        <f aca="false">IF(AND(ISNUMBER($T492),$P492="高"),IF($T492=3,1,0),0)</f>
        <v>0</v>
      </c>
      <c r="AE492" s="186" t="n">
        <f aca="false">IF($S492="不存在",1,0)</f>
        <v>0</v>
      </c>
      <c r="AF492" s="35" t="n">
        <f aca="false">IF(OR($H492="—",$H492=""),"—",MATCH($H492,IDX_SrcID,0))</f>
        <v>565</v>
      </c>
      <c r="AG492" s="104" t="n">
        <f aca="false">IF(AND($P492="高",OR($AD492=1,$X492=1)),1,0)</f>
        <v>0</v>
      </c>
      <c r="AH492" s="104" t="n">
        <f aca="false">IF(AND($P492="高",$AG492=0,OR($F492&lt;&gt;"原始數據",$T492&lt;&gt;1)),1,0)</f>
        <v>0</v>
      </c>
      <c r="AI492" s="53" t="str">
        <f aca="false">IF(AND($P492="高",ISNUMBER($AF492)),INDEX(IDX_SrcDate,$AF492),"—")</f>
        <v>—</v>
      </c>
      <c r="AJ492" s="104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6" t="s">
        <v>4433</v>
      </c>
      <c r="B493" s="215" t="s">
        <v>4244</v>
      </c>
      <c r="C493" s="36" t="s">
        <v>4388</v>
      </c>
      <c r="D493" s="36" t="s">
        <v>4434</v>
      </c>
      <c r="E493" s="19" t="s">
        <v>4435</v>
      </c>
      <c r="F493" s="36" t="s">
        <v>80</v>
      </c>
      <c r="G493" s="215" t="s">
        <v>3930</v>
      </c>
      <c r="H493" s="36" t="s">
        <v>587</v>
      </c>
      <c r="I493" s="6" t="s">
        <v>587</v>
      </c>
      <c r="J493" s="36" t="s">
        <v>587</v>
      </c>
      <c r="K493" s="215"/>
      <c r="L493" s="215"/>
      <c r="M493" s="215" t="s">
        <v>3102</v>
      </c>
      <c r="N493" s="19" t="s">
        <v>4436</v>
      </c>
      <c r="O493" s="6" t="s">
        <v>4437</v>
      </c>
      <c r="P493" s="215" t="s">
        <v>3188</v>
      </c>
      <c r="Q493" s="185" t="s">
        <v>587</v>
      </c>
      <c r="R493" s="36" t="s">
        <v>587</v>
      </c>
      <c r="S493" s="35" t="str">
        <f aca="false">IF(ISNUMBER($AF493),INDEX(IDX_SrcStat,$AF493),"—")</f>
        <v>—</v>
      </c>
      <c r="T493" s="35" t="str">
        <f aca="false">IF(ISNUMBER($AF493),INDEX(IDX_SrcGrade,$AF493),"—")</f>
        <v>—</v>
      </c>
      <c r="U493" s="36" t="s">
        <v>587</v>
      </c>
      <c r="V493" s="186" t="n">
        <f aca="false">IF(AND($F493="原始數據",$U493&lt;&gt;"連結 SRC"),1,0)</f>
        <v>0</v>
      </c>
      <c r="W493" s="186" t="n">
        <f aca="false">IF(AND($F493="Analogy",OR($H493="—",$H493="")),1,0)</f>
        <v>0</v>
      </c>
      <c r="X493" s="186" t="n">
        <f aca="false">IF(AND(OR($F493="Analogy",$F493="Assumed"),$G493&lt;&gt;"低",$G493&lt;&gt;"高",NOT(ISNUMBER($K493)),NOT(ISNUMBER($L493)),OR($M493="—",$M493="")),1,0)</f>
        <v>0</v>
      </c>
      <c r="Y493" s="186" t="n">
        <f aca="false">IF(AND(OR($F493="Analogy",$F493="Assumed",$F493="Derived（待改公式）",$F493="Derived（公式）"),OR($N493="—",$N493="",$N493=0)),1,0)</f>
        <v>0</v>
      </c>
      <c r="Z493" s="186" t="n">
        <f aca="false">IF(AND($F493="Decision",OR($J493="—",$J493="")),1,0)</f>
        <v>0</v>
      </c>
      <c r="AA493" s="183" t="n">
        <f aca="false">IF(OR($J493="—",$J493=""),0,IF(COUNTIF(Decisions!$A$5:$A$300,$J493)=0,1,0))</f>
        <v>0</v>
      </c>
      <c r="AB493" s="186" t="n">
        <f aca="false">IF(AND($F493="原始數據",$S493&lt;&gt;"Active"),1,0)</f>
        <v>0</v>
      </c>
      <c r="AC493" s="186" t="n">
        <f aca="false">IF(AND(ISNUMBER($K493),ISNUMBER($L493),ISNUMBER($Q493)),IF(OR($Q493&lt;MIN($K493,$L493),$Q493&gt;MAX($K493,$L493)),1,0),0)</f>
        <v>0</v>
      </c>
      <c r="AD493" s="186" t="n">
        <f aca="false">IF(AND(ISNUMBER($T493),$P493="高"),IF($T493=3,1,0),0)</f>
        <v>0</v>
      </c>
      <c r="AE493" s="186" t="n">
        <f aca="false">IF($S493="不存在",1,0)</f>
        <v>0</v>
      </c>
      <c r="AF493" s="35" t="str">
        <f aca="false">IF(OR($H493="—",$H493=""),"—",MATCH($H493,IDX_SrcID,0))</f>
        <v>—</v>
      </c>
      <c r="AG493" s="104" t="n">
        <f aca="false">IF(AND($P493="高",OR($AD493=1,$X493=1)),1,0)</f>
        <v>0</v>
      </c>
      <c r="AH493" s="104" t="n">
        <f aca="false">IF(AND($P493="高",$AG493=0,OR($F493&lt;&gt;"原始數據",$T493&lt;&gt;1)),1,0)</f>
        <v>0</v>
      </c>
      <c r="AI493" s="53" t="str">
        <f aca="false">IF(AND($P493="高",ISNUMBER($AF493)),INDEX(IDX_SrcDate,$AF493),"—")</f>
        <v>—</v>
      </c>
      <c r="AJ493" s="104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6" t="s">
        <v>4438</v>
      </c>
      <c r="B494" s="215" t="s">
        <v>4244</v>
      </c>
      <c r="C494" s="36" t="s">
        <v>4388</v>
      </c>
      <c r="D494" s="36" t="s">
        <v>4439</v>
      </c>
      <c r="E494" s="19" t="s">
        <v>1473</v>
      </c>
      <c r="F494" s="36" t="s">
        <v>80</v>
      </c>
      <c r="G494" s="215" t="s">
        <v>3930</v>
      </c>
      <c r="H494" s="36" t="s">
        <v>587</v>
      </c>
      <c r="I494" s="6" t="s">
        <v>587</v>
      </c>
      <c r="J494" s="36" t="s">
        <v>587</v>
      </c>
      <c r="K494" s="215"/>
      <c r="L494" s="215"/>
      <c r="M494" s="36" t="s">
        <v>4440</v>
      </c>
      <c r="N494" s="19" t="s">
        <v>4441</v>
      </c>
      <c r="O494" s="6" t="s">
        <v>587</v>
      </c>
      <c r="P494" s="215" t="s">
        <v>3188</v>
      </c>
      <c r="Q494" s="185" t="s">
        <v>587</v>
      </c>
      <c r="R494" s="36" t="s">
        <v>587</v>
      </c>
      <c r="S494" s="35" t="str">
        <f aca="false">IF(ISNUMBER($AF494),INDEX(IDX_SrcStat,$AF494),"—")</f>
        <v>—</v>
      </c>
      <c r="T494" s="35" t="str">
        <f aca="false">IF(ISNUMBER($AF494),INDEX(IDX_SrcGrade,$AF494),"—")</f>
        <v>—</v>
      </c>
      <c r="U494" s="36" t="s">
        <v>587</v>
      </c>
      <c r="V494" s="186" t="n">
        <f aca="false">IF(AND($F494="原始數據",$U494&lt;&gt;"連結 SRC"),1,0)</f>
        <v>0</v>
      </c>
      <c r="W494" s="186" t="n">
        <f aca="false">IF(AND($F494="Analogy",OR($H494="—",$H494="")),1,0)</f>
        <v>0</v>
      </c>
      <c r="X494" s="186" t="n">
        <f aca="false">IF(AND(OR($F494="Analogy",$F494="Assumed"),$G494&lt;&gt;"低",$G494&lt;&gt;"高",NOT(ISNUMBER($K494)),NOT(ISNUMBER($L494)),OR($M494="—",$M494="")),1,0)</f>
        <v>0</v>
      </c>
      <c r="Y494" s="186" t="n">
        <f aca="false">IF(AND(OR($F494="Analogy",$F494="Assumed",$F494="Derived（待改公式）",$F494="Derived（公式）"),OR($N494="—",$N494="",$N494=0)),1,0)</f>
        <v>0</v>
      </c>
      <c r="Z494" s="186" t="n">
        <f aca="false">IF(AND($F494="Decision",OR($J494="—",$J494="")),1,0)</f>
        <v>0</v>
      </c>
      <c r="AA494" s="183" t="n">
        <f aca="false">IF(OR($J494="—",$J494=""),0,IF(COUNTIF(Decisions!$A$5:$A$300,$J494)=0,1,0))</f>
        <v>0</v>
      </c>
      <c r="AB494" s="186" t="n">
        <f aca="false">IF(AND($F494="原始數據",$S494&lt;&gt;"Active"),1,0)</f>
        <v>0</v>
      </c>
      <c r="AC494" s="186" t="n">
        <f aca="false">IF(AND(ISNUMBER($K494),ISNUMBER($L494),ISNUMBER($Q494)),IF(OR($Q494&lt;MIN($K494,$L494),$Q494&gt;MAX($K494,$L494)),1,0),0)</f>
        <v>0</v>
      </c>
      <c r="AD494" s="186" t="n">
        <f aca="false">IF(AND(ISNUMBER($T494),$P494="高"),IF($T494=3,1,0),0)</f>
        <v>0</v>
      </c>
      <c r="AE494" s="186" t="n">
        <f aca="false">IF($S494="不存在",1,0)</f>
        <v>0</v>
      </c>
      <c r="AF494" s="35" t="str">
        <f aca="false">IF(OR($H494="—",$H494=""),"—",MATCH($H494,IDX_SrcID,0))</f>
        <v>—</v>
      </c>
      <c r="AG494" s="104" t="n">
        <f aca="false">IF(AND($P494="高",OR($AD494=1,$X494=1)),1,0)</f>
        <v>0</v>
      </c>
      <c r="AH494" s="104" t="n">
        <f aca="false">IF(AND($P494="高",$AG494=0,OR($F494&lt;&gt;"原始數據",$T494&lt;&gt;1)),1,0)</f>
        <v>0</v>
      </c>
      <c r="AI494" s="53" t="str">
        <f aca="false">IF(AND($P494="高",ISNUMBER($AF494)),INDEX(IDX_SrcDate,$AF494),"—")</f>
        <v>—</v>
      </c>
      <c r="AJ494" s="104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6" t="s">
        <v>4442</v>
      </c>
      <c r="B495" s="215" t="s">
        <v>4244</v>
      </c>
      <c r="C495" s="36" t="s">
        <v>4388</v>
      </c>
      <c r="D495" s="36" t="s">
        <v>4443</v>
      </c>
      <c r="E495" s="19" t="s">
        <v>4402</v>
      </c>
      <c r="F495" s="36" t="s">
        <v>80</v>
      </c>
      <c r="G495" s="215" t="s">
        <v>3930</v>
      </c>
      <c r="H495" s="36" t="s">
        <v>587</v>
      </c>
      <c r="I495" s="6" t="s">
        <v>587</v>
      </c>
      <c r="J495" s="36" t="s">
        <v>587</v>
      </c>
      <c r="K495" s="215"/>
      <c r="L495" s="215"/>
      <c r="M495" s="36" t="s">
        <v>4403</v>
      </c>
      <c r="N495" s="19" t="s">
        <v>4444</v>
      </c>
      <c r="O495" s="6" t="s">
        <v>587</v>
      </c>
      <c r="P495" s="215" t="s">
        <v>3188</v>
      </c>
      <c r="Q495" s="185" t="s">
        <v>587</v>
      </c>
      <c r="R495" s="36" t="s">
        <v>587</v>
      </c>
      <c r="S495" s="35" t="str">
        <f aca="false">IF(ISNUMBER($AF495),INDEX(IDX_SrcStat,$AF495),"—")</f>
        <v>—</v>
      </c>
      <c r="T495" s="35" t="str">
        <f aca="false">IF(ISNUMBER($AF495),INDEX(IDX_SrcGrade,$AF495),"—")</f>
        <v>—</v>
      </c>
      <c r="U495" s="36" t="s">
        <v>587</v>
      </c>
      <c r="V495" s="186" t="n">
        <f aca="false">IF(AND($F495="原始數據",$U495&lt;&gt;"連結 SRC"),1,0)</f>
        <v>0</v>
      </c>
      <c r="W495" s="186" t="n">
        <f aca="false">IF(AND($F495="Analogy",OR($H495="—",$H495="")),1,0)</f>
        <v>0</v>
      </c>
      <c r="X495" s="186" t="n">
        <f aca="false">IF(AND(OR($F495="Analogy",$F495="Assumed"),$G495&lt;&gt;"低",$G495&lt;&gt;"高",NOT(ISNUMBER($K495)),NOT(ISNUMBER($L495)),OR($M495="—",$M495="")),1,0)</f>
        <v>0</v>
      </c>
      <c r="Y495" s="186" t="n">
        <f aca="false">IF(AND(OR($F495="Analogy",$F495="Assumed",$F495="Derived（待改公式）",$F495="Derived（公式）"),OR($N495="—",$N495="",$N495=0)),1,0)</f>
        <v>0</v>
      </c>
      <c r="Z495" s="186" t="n">
        <f aca="false">IF(AND($F495="Decision",OR($J495="—",$J495="")),1,0)</f>
        <v>0</v>
      </c>
      <c r="AA495" s="183" t="n">
        <f aca="false">IF(OR($J495="—",$J495=""),0,IF(COUNTIF(Decisions!$A$5:$A$300,$J495)=0,1,0))</f>
        <v>0</v>
      </c>
      <c r="AB495" s="186" t="n">
        <f aca="false">IF(AND($F495="原始數據",$S495&lt;&gt;"Active"),1,0)</f>
        <v>0</v>
      </c>
      <c r="AC495" s="186" t="n">
        <f aca="false">IF(AND(ISNUMBER($K495),ISNUMBER($L495),ISNUMBER($Q495)),IF(OR($Q495&lt;MIN($K495,$L495),$Q495&gt;MAX($K495,$L495)),1,0),0)</f>
        <v>0</v>
      </c>
      <c r="AD495" s="186" t="n">
        <f aca="false">IF(AND(ISNUMBER($T495),$P495="高"),IF($T495=3,1,0),0)</f>
        <v>0</v>
      </c>
      <c r="AE495" s="186" t="n">
        <f aca="false">IF($S495="不存在",1,0)</f>
        <v>0</v>
      </c>
      <c r="AF495" s="35" t="str">
        <f aca="false">IF(OR($H495="—",$H495=""),"—",MATCH($H495,IDX_SrcID,0))</f>
        <v>—</v>
      </c>
      <c r="AG495" s="104" t="n">
        <f aca="false">IF(AND($P495="高",OR($AD495=1,$X495=1)),1,0)</f>
        <v>0</v>
      </c>
      <c r="AH495" s="104" t="n">
        <f aca="false">IF(AND($P495="高",$AG495=0,OR($F495&lt;&gt;"原始數據",$T495&lt;&gt;1)),1,0)</f>
        <v>0</v>
      </c>
      <c r="AI495" s="53" t="str">
        <f aca="false">IF(AND($P495="高",ISNUMBER($AF495)),INDEX(IDX_SrcDate,$AF495),"—")</f>
        <v>—</v>
      </c>
      <c r="AJ495" s="104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6" t="s">
        <v>4445</v>
      </c>
      <c r="B496" s="215" t="s">
        <v>4244</v>
      </c>
      <c r="C496" s="36" t="s">
        <v>4388</v>
      </c>
      <c r="D496" s="36" t="s">
        <v>4446</v>
      </c>
      <c r="E496" s="19" t="s">
        <v>1478</v>
      </c>
      <c r="F496" s="36" t="s">
        <v>80</v>
      </c>
      <c r="G496" s="215" t="s">
        <v>3930</v>
      </c>
      <c r="H496" s="36" t="s">
        <v>587</v>
      </c>
      <c r="I496" s="6" t="s">
        <v>587</v>
      </c>
      <c r="J496" s="36" t="s">
        <v>587</v>
      </c>
      <c r="K496" s="215"/>
      <c r="L496" s="215"/>
      <c r="M496" s="36" t="s">
        <v>4447</v>
      </c>
      <c r="N496" s="19" t="s">
        <v>4448</v>
      </c>
      <c r="O496" s="6" t="s">
        <v>587</v>
      </c>
      <c r="P496" s="215" t="s">
        <v>3188</v>
      </c>
      <c r="Q496" s="185" t="s">
        <v>587</v>
      </c>
      <c r="R496" s="36" t="s">
        <v>587</v>
      </c>
      <c r="S496" s="35" t="str">
        <f aca="false">IF(ISNUMBER($AF496),INDEX(IDX_SrcStat,$AF496),"—")</f>
        <v>—</v>
      </c>
      <c r="T496" s="35" t="str">
        <f aca="false">IF(ISNUMBER($AF496),INDEX(IDX_SrcGrade,$AF496),"—")</f>
        <v>—</v>
      </c>
      <c r="U496" s="36" t="s">
        <v>587</v>
      </c>
      <c r="V496" s="186" t="n">
        <f aca="false">IF(AND($F496="原始數據",$U496&lt;&gt;"連結 SRC"),1,0)</f>
        <v>0</v>
      </c>
      <c r="W496" s="186" t="n">
        <f aca="false">IF(AND($F496="Analogy",OR($H496="—",$H496="")),1,0)</f>
        <v>0</v>
      </c>
      <c r="X496" s="186" t="n">
        <f aca="false">IF(AND(OR($F496="Analogy",$F496="Assumed"),$G496&lt;&gt;"低",$G496&lt;&gt;"高",NOT(ISNUMBER($K496)),NOT(ISNUMBER($L496)),OR($M496="—",$M496="")),1,0)</f>
        <v>0</v>
      </c>
      <c r="Y496" s="186" t="n">
        <f aca="false">IF(AND(OR($F496="Analogy",$F496="Assumed",$F496="Derived（待改公式）",$F496="Derived（公式）"),OR($N496="—",$N496="",$N496=0)),1,0)</f>
        <v>0</v>
      </c>
      <c r="Z496" s="186" t="n">
        <f aca="false">IF(AND($F496="Decision",OR($J496="—",$J496="")),1,0)</f>
        <v>0</v>
      </c>
      <c r="AA496" s="183" t="n">
        <f aca="false">IF(OR($J496="—",$J496=""),0,IF(COUNTIF(Decisions!$A$5:$A$300,$J496)=0,1,0))</f>
        <v>0</v>
      </c>
      <c r="AB496" s="186" t="n">
        <f aca="false">IF(AND($F496="原始數據",$S496&lt;&gt;"Active"),1,0)</f>
        <v>0</v>
      </c>
      <c r="AC496" s="186" t="n">
        <f aca="false">IF(AND(ISNUMBER($K496),ISNUMBER($L496),ISNUMBER($Q496)),IF(OR($Q496&lt;MIN($K496,$L496),$Q496&gt;MAX($K496,$L496)),1,0),0)</f>
        <v>0</v>
      </c>
      <c r="AD496" s="186" t="n">
        <f aca="false">IF(AND(ISNUMBER($T496),$P496="高"),IF($T496=3,1,0),0)</f>
        <v>0</v>
      </c>
      <c r="AE496" s="186" t="n">
        <f aca="false">IF($S496="不存在",1,0)</f>
        <v>0</v>
      </c>
      <c r="AF496" s="35" t="str">
        <f aca="false">IF(OR($H496="—",$H496=""),"—",MATCH($H496,IDX_SrcID,0))</f>
        <v>—</v>
      </c>
      <c r="AG496" s="104" t="n">
        <f aca="false">IF(AND($P496="高",OR($AD496=1,$X496=1)),1,0)</f>
        <v>0</v>
      </c>
      <c r="AH496" s="104" t="n">
        <f aca="false">IF(AND($P496="高",$AG496=0,OR($F496&lt;&gt;"原始數據",$T496&lt;&gt;1)),1,0)</f>
        <v>0</v>
      </c>
      <c r="AI496" s="53" t="str">
        <f aca="false">IF(AND($P496="高",ISNUMBER($AF496)),INDEX(IDX_SrcDate,$AF496),"—")</f>
        <v>—</v>
      </c>
      <c r="AJ496" s="104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6" t="s">
        <v>4449</v>
      </c>
      <c r="B497" s="215" t="s">
        <v>4244</v>
      </c>
      <c r="C497" s="36" t="s">
        <v>4388</v>
      </c>
      <c r="D497" s="36" t="s">
        <v>4450</v>
      </c>
      <c r="E497" s="19" t="s">
        <v>4412</v>
      </c>
      <c r="F497" s="36" t="s">
        <v>80</v>
      </c>
      <c r="G497" s="215" t="s">
        <v>3930</v>
      </c>
      <c r="H497" s="36" t="s">
        <v>587</v>
      </c>
      <c r="I497" s="6" t="s">
        <v>587</v>
      </c>
      <c r="J497" s="36" t="s">
        <v>587</v>
      </c>
      <c r="K497" s="215"/>
      <c r="L497" s="215"/>
      <c r="M497" s="36" t="s">
        <v>4451</v>
      </c>
      <c r="N497" s="19" t="s">
        <v>4452</v>
      </c>
      <c r="O497" s="6" t="s">
        <v>587</v>
      </c>
      <c r="P497" s="215" t="s">
        <v>3188</v>
      </c>
      <c r="Q497" s="185" t="s">
        <v>587</v>
      </c>
      <c r="R497" s="36" t="s">
        <v>587</v>
      </c>
      <c r="S497" s="35" t="str">
        <f aca="false">IF(ISNUMBER($AF497),INDEX(IDX_SrcStat,$AF497),"—")</f>
        <v>—</v>
      </c>
      <c r="T497" s="35" t="str">
        <f aca="false">IF(ISNUMBER($AF497),INDEX(IDX_SrcGrade,$AF497),"—")</f>
        <v>—</v>
      </c>
      <c r="U497" s="36" t="s">
        <v>587</v>
      </c>
      <c r="V497" s="186" t="n">
        <f aca="false">IF(AND($F497="原始數據",$U497&lt;&gt;"連結 SRC"),1,0)</f>
        <v>0</v>
      </c>
      <c r="W497" s="186" t="n">
        <f aca="false">IF(AND($F497="Analogy",OR($H497="—",$H497="")),1,0)</f>
        <v>0</v>
      </c>
      <c r="X497" s="186" t="n">
        <f aca="false">IF(AND(OR($F497="Analogy",$F497="Assumed"),$G497&lt;&gt;"低",$G497&lt;&gt;"高",NOT(ISNUMBER($K497)),NOT(ISNUMBER($L497)),OR($M497="—",$M497="")),1,0)</f>
        <v>0</v>
      </c>
      <c r="Y497" s="186" t="n">
        <f aca="false">IF(AND(OR($F497="Analogy",$F497="Assumed",$F497="Derived（待改公式）",$F497="Derived（公式）"),OR($N497="—",$N497="",$N497=0)),1,0)</f>
        <v>0</v>
      </c>
      <c r="Z497" s="186" t="n">
        <f aca="false">IF(AND($F497="Decision",OR($J497="—",$J497="")),1,0)</f>
        <v>0</v>
      </c>
      <c r="AA497" s="183" t="n">
        <f aca="false">IF(OR($J497="—",$J497=""),0,IF(COUNTIF(Decisions!$A$5:$A$300,$J497)=0,1,0))</f>
        <v>0</v>
      </c>
      <c r="AB497" s="186" t="n">
        <f aca="false">IF(AND($F497="原始數據",$S497&lt;&gt;"Active"),1,0)</f>
        <v>0</v>
      </c>
      <c r="AC497" s="186" t="n">
        <f aca="false">IF(AND(ISNUMBER($K497),ISNUMBER($L497),ISNUMBER($Q497)),IF(OR($Q497&lt;MIN($K497,$L497),$Q497&gt;MAX($K497,$L497)),1,0),0)</f>
        <v>0</v>
      </c>
      <c r="AD497" s="186" t="n">
        <f aca="false">IF(AND(ISNUMBER($T497),$P497="高"),IF($T497=3,1,0),0)</f>
        <v>0</v>
      </c>
      <c r="AE497" s="186" t="n">
        <f aca="false">IF($S497="不存在",1,0)</f>
        <v>0</v>
      </c>
      <c r="AF497" s="35" t="str">
        <f aca="false">IF(OR($H497="—",$H497=""),"—",MATCH($H497,IDX_SrcID,0))</f>
        <v>—</v>
      </c>
      <c r="AG497" s="104" t="n">
        <f aca="false">IF(AND($P497="高",OR($AD497=1,$X497=1)),1,0)</f>
        <v>0</v>
      </c>
      <c r="AH497" s="104" t="n">
        <f aca="false">IF(AND($P497="高",$AG497=0,OR($F497&lt;&gt;"原始數據",$T497&lt;&gt;1)),1,0)</f>
        <v>0</v>
      </c>
      <c r="AI497" s="53" t="str">
        <f aca="false">IF(AND($P497="高",ISNUMBER($AF497)),INDEX(IDX_SrcDate,$AF497),"—")</f>
        <v>—</v>
      </c>
      <c r="AJ497" s="104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6" t="s">
        <v>4453</v>
      </c>
      <c r="B498" s="215" t="s">
        <v>4244</v>
      </c>
      <c r="C498" s="36" t="s">
        <v>4388</v>
      </c>
      <c r="D498" s="36" t="s">
        <v>4454</v>
      </c>
      <c r="E498" s="19" t="s">
        <v>1482</v>
      </c>
      <c r="F498" s="36" t="s">
        <v>80</v>
      </c>
      <c r="G498" s="215" t="s">
        <v>3930</v>
      </c>
      <c r="H498" s="36" t="s">
        <v>587</v>
      </c>
      <c r="I498" s="6" t="s">
        <v>587</v>
      </c>
      <c r="J498" s="36" t="s">
        <v>587</v>
      </c>
      <c r="K498" s="215"/>
      <c r="L498" s="215"/>
      <c r="M498" s="36" t="s">
        <v>4417</v>
      </c>
      <c r="N498" s="19" t="s">
        <v>4455</v>
      </c>
      <c r="O498" s="6" t="s">
        <v>587</v>
      </c>
      <c r="P498" s="215" t="s">
        <v>3188</v>
      </c>
      <c r="Q498" s="185" t="s">
        <v>587</v>
      </c>
      <c r="R498" s="36" t="s">
        <v>587</v>
      </c>
      <c r="S498" s="35" t="str">
        <f aca="false">IF(ISNUMBER($AF498),INDEX(IDX_SrcStat,$AF498),"—")</f>
        <v>—</v>
      </c>
      <c r="T498" s="35" t="str">
        <f aca="false">IF(ISNUMBER($AF498),INDEX(IDX_SrcGrade,$AF498),"—")</f>
        <v>—</v>
      </c>
      <c r="U498" s="36" t="s">
        <v>587</v>
      </c>
      <c r="V498" s="186" t="n">
        <f aca="false">IF(AND($F498="原始數據",$U498&lt;&gt;"連結 SRC"),1,0)</f>
        <v>0</v>
      </c>
      <c r="W498" s="186" t="n">
        <f aca="false">IF(AND($F498="Analogy",OR($H498="—",$H498="")),1,0)</f>
        <v>0</v>
      </c>
      <c r="X498" s="186" t="n">
        <f aca="false">IF(AND(OR($F498="Analogy",$F498="Assumed"),$G498&lt;&gt;"低",$G498&lt;&gt;"高",NOT(ISNUMBER($K498)),NOT(ISNUMBER($L498)),OR($M498="—",$M498="")),1,0)</f>
        <v>0</v>
      </c>
      <c r="Y498" s="186" t="n">
        <f aca="false">IF(AND(OR($F498="Analogy",$F498="Assumed",$F498="Derived（待改公式）",$F498="Derived（公式）"),OR($N498="—",$N498="",$N498=0)),1,0)</f>
        <v>0</v>
      </c>
      <c r="Z498" s="186" t="n">
        <f aca="false">IF(AND($F498="Decision",OR($J498="—",$J498="")),1,0)</f>
        <v>0</v>
      </c>
      <c r="AA498" s="183" t="n">
        <f aca="false">IF(OR($J498="—",$J498=""),0,IF(COUNTIF(Decisions!$A$5:$A$300,$J498)=0,1,0))</f>
        <v>0</v>
      </c>
      <c r="AB498" s="186" t="n">
        <f aca="false">IF(AND($F498="原始數據",$S498&lt;&gt;"Active"),1,0)</f>
        <v>0</v>
      </c>
      <c r="AC498" s="186" t="n">
        <f aca="false">IF(AND(ISNUMBER($K498),ISNUMBER($L498),ISNUMBER($Q498)),IF(OR($Q498&lt;MIN($K498,$L498),$Q498&gt;MAX($K498,$L498)),1,0),0)</f>
        <v>0</v>
      </c>
      <c r="AD498" s="186" t="n">
        <f aca="false">IF(AND(ISNUMBER($T498),$P498="高"),IF($T498=3,1,0),0)</f>
        <v>0</v>
      </c>
      <c r="AE498" s="186" t="n">
        <f aca="false">IF($S498="不存在",1,0)</f>
        <v>0</v>
      </c>
      <c r="AF498" s="35" t="str">
        <f aca="false">IF(OR($H498="—",$H498=""),"—",MATCH($H498,IDX_SrcID,0))</f>
        <v>—</v>
      </c>
      <c r="AG498" s="104" t="n">
        <f aca="false">IF(AND($P498="高",OR($AD498=1,$X498=1)),1,0)</f>
        <v>0</v>
      </c>
      <c r="AH498" s="104" t="n">
        <f aca="false">IF(AND($P498="高",$AG498=0,OR($F498&lt;&gt;"原始數據",$T498&lt;&gt;1)),1,0)</f>
        <v>0</v>
      </c>
      <c r="AI498" s="53" t="str">
        <f aca="false">IF(AND($P498="高",ISNUMBER($AF498)),INDEX(IDX_SrcDate,$AF498),"—")</f>
        <v>—</v>
      </c>
      <c r="AJ498" s="104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6" t="s">
        <v>4456</v>
      </c>
      <c r="B499" s="215" t="s">
        <v>4244</v>
      </c>
      <c r="C499" s="36" t="s">
        <v>4388</v>
      </c>
      <c r="D499" s="36" t="s">
        <v>4457</v>
      </c>
      <c r="E499" s="19" t="s">
        <v>1487</v>
      </c>
      <c r="F499" s="36" t="s">
        <v>80</v>
      </c>
      <c r="G499" s="215" t="s">
        <v>3930</v>
      </c>
      <c r="H499" s="36" t="s">
        <v>587</v>
      </c>
      <c r="I499" s="6" t="s">
        <v>587</v>
      </c>
      <c r="J499" s="36" t="s">
        <v>587</v>
      </c>
      <c r="K499" s="215"/>
      <c r="L499" s="215"/>
      <c r="M499" s="36" t="s">
        <v>4458</v>
      </c>
      <c r="N499" s="19" t="s">
        <v>4459</v>
      </c>
      <c r="O499" s="6" t="s">
        <v>587</v>
      </c>
      <c r="P499" s="215" t="s">
        <v>3188</v>
      </c>
      <c r="Q499" s="185" t="s">
        <v>587</v>
      </c>
      <c r="R499" s="36" t="s">
        <v>587</v>
      </c>
      <c r="S499" s="35" t="str">
        <f aca="false">IF(ISNUMBER($AF499),INDEX(IDX_SrcStat,$AF499),"—")</f>
        <v>—</v>
      </c>
      <c r="T499" s="35" t="str">
        <f aca="false">IF(ISNUMBER($AF499),INDEX(IDX_SrcGrade,$AF499),"—")</f>
        <v>—</v>
      </c>
      <c r="U499" s="36" t="s">
        <v>587</v>
      </c>
      <c r="V499" s="186" t="n">
        <f aca="false">IF(AND($F499="原始數據",$U499&lt;&gt;"連結 SRC"),1,0)</f>
        <v>0</v>
      </c>
      <c r="W499" s="186" t="n">
        <f aca="false">IF(AND($F499="Analogy",OR($H499="—",$H499="")),1,0)</f>
        <v>0</v>
      </c>
      <c r="X499" s="186" t="n">
        <f aca="false">IF(AND(OR($F499="Analogy",$F499="Assumed"),$G499&lt;&gt;"低",$G499&lt;&gt;"高",NOT(ISNUMBER($K499)),NOT(ISNUMBER($L499)),OR($M499="—",$M499="")),1,0)</f>
        <v>0</v>
      </c>
      <c r="Y499" s="186" t="n">
        <f aca="false">IF(AND(OR($F499="Analogy",$F499="Assumed",$F499="Derived（待改公式）",$F499="Derived（公式）"),OR($N499="—",$N499="",$N499=0)),1,0)</f>
        <v>0</v>
      </c>
      <c r="Z499" s="186" t="n">
        <f aca="false">IF(AND($F499="Decision",OR($J499="—",$J499="")),1,0)</f>
        <v>0</v>
      </c>
      <c r="AA499" s="183" t="n">
        <f aca="false">IF(OR($J499="—",$J499=""),0,IF(COUNTIF(Decisions!$A$5:$A$300,$J499)=0,1,0))</f>
        <v>0</v>
      </c>
      <c r="AB499" s="186" t="n">
        <f aca="false">IF(AND($F499="原始數據",$S499&lt;&gt;"Active"),1,0)</f>
        <v>0</v>
      </c>
      <c r="AC499" s="186" t="n">
        <f aca="false">IF(AND(ISNUMBER($K499),ISNUMBER($L499),ISNUMBER($Q499)),IF(OR($Q499&lt;MIN($K499,$L499),$Q499&gt;MAX($K499,$L499)),1,0),0)</f>
        <v>0</v>
      </c>
      <c r="AD499" s="186" t="n">
        <f aca="false">IF(AND(ISNUMBER($T499),$P499="高"),IF($T499=3,1,0),0)</f>
        <v>0</v>
      </c>
      <c r="AE499" s="186" t="n">
        <f aca="false">IF($S499="不存在",1,0)</f>
        <v>0</v>
      </c>
      <c r="AF499" s="35" t="str">
        <f aca="false">IF(OR($H499="—",$H499=""),"—",MATCH($H499,IDX_SrcID,0))</f>
        <v>—</v>
      </c>
      <c r="AG499" s="104" t="n">
        <f aca="false">IF(AND($P499="高",OR($AD499=1,$X499=1)),1,0)</f>
        <v>0</v>
      </c>
      <c r="AH499" s="104" t="n">
        <f aca="false">IF(AND($P499="高",$AG499=0,OR($F499&lt;&gt;"原始數據",$T499&lt;&gt;1)),1,0)</f>
        <v>0</v>
      </c>
      <c r="AI499" s="53" t="str">
        <f aca="false">IF(AND($P499="高",ISNUMBER($AF499)),INDEX(IDX_SrcDate,$AF499),"—")</f>
        <v>—</v>
      </c>
      <c r="AJ499" s="104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6" t="s">
        <v>4460</v>
      </c>
      <c r="B500" s="215" t="s">
        <v>4244</v>
      </c>
      <c r="C500" s="36" t="s">
        <v>4388</v>
      </c>
      <c r="D500" s="36" t="s">
        <v>4461</v>
      </c>
      <c r="E500" s="19" t="s">
        <v>1489</v>
      </c>
      <c r="F500" s="36" t="s">
        <v>80</v>
      </c>
      <c r="G500" s="215" t="s">
        <v>3930</v>
      </c>
      <c r="H500" s="36" t="s">
        <v>587</v>
      </c>
      <c r="I500" s="6" t="s">
        <v>587</v>
      </c>
      <c r="J500" s="36" t="s">
        <v>587</v>
      </c>
      <c r="K500" s="215"/>
      <c r="L500" s="215"/>
      <c r="M500" s="36" t="s">
        <v>4462</v>
      </c>
      <c r="N500" s="19" t="s">
        <v>4463</v>
      </c>
      <c r="O500" s="6" t="s">
        <v>587</v>
      </c>
      <c r="P500" s="215" t="s">
        <v>3188</v>
      </c>
      <c r="Q500" s="185" t="s">
        <v>587</v>
      </c>
      <c r="R500" s="36" t="s">
        <v>587</v>
      </c>
      <c r="S500" s="35" t="str">
        <f aca="false">IF(ISNUMBER($AF500),INDEX(IDX_SrcStat,$AF500),"—")</f>
        <v>—</v>
      </c>
      <c r="T500" s="35" t="str">
        <f aca="false">IF(ISNUMBER($AF500),INDEX(IDX_SrcGrade,$AF500),"—")</f>
        <v>—</v>
      </c>
      <c r="U500" s="36" t="s">
        <v>587</v>
      </c>
      <c r="V500" s="186" t="n">
        <f aca="false">IF(AND($F500="原始數據",$U500&lt;&gt;"連結 SRC"),1,0)</f>
        <v>0</v>
      </c>
      <c r="W500" s="186" t="n">
        <f aca="false">IF(AND($F500="Analogy",OR($H500="—",$H500="")),1,0)</f>
        <v>0</v>
      </c>
      <c r="X500" s="186" t="n">
        <f aca="false">IF(AND(OR($F500="Analogy",$F500="Assumed"),$G500&lt;&gt;"低",$G500&lt;&gt;"高",NOT(ISNUMBER($K500)),NOT(ISNUMBER($L500)),OR($M500="—",$M500="")),1,0)</f>
        <v>0</v>
      </c>
      <c r="Y500" s="186" t="n">
        <f aca="false">IF(AND(OR($F500="Analogy",$F500="Assumed",$F500="Derived（待改公式）",$F500="Derived（公式）"),OR($N500="—",$N500="",$N500=0)),1,0)</f>
        <v>0</v>
      </c>
      <c r="Z500" s="186" t="n">
        <f aca="false">IF(AND($F500="Decision",OR($J500="—",$J500="")),1,0)</f>
        <v>0</v>
      </c>
      <c r="AA500" s="183" t="n">
        <f aca="false">IF(OR($J500="—",$J500=""),0,IF(COUNTIF(Decisions!$A$5:$A$300,$J500)=0,1,0))</f>
        <v>0</v>
      </c>
      <c r="AB500" s="186" t="n">
        <f aca="false">IF(AND($F500="原始數據",$S500&lt;&gt;"Active"),1,0)</f>
        <v>0</v>
      </c>
      <c r="AC500" s="186" t="n">
        <f aca="false">IF(AND(ISNUMBER($K500),ISNUMBER($L500),ISNUMBER($Q500)),IF(OR($Q500&lt;MIN($K500,$L500),$Q500&gt;MAX($K500,$L500)),1,0),0)</f>
        <v>0</v>
      </c>
      <c r="AD500" s="186" t="n">
        <f aca="false">IF(AND(ISNUMBER($T500),$P500="高"),IF($T500=3,1,0),0)</f>
        <v>0</v>
      </c>
      <c r="AE500" s="186" t="n">
        <f aca="false">IF($S500="不存在",1,0)</f>
        <v>0</v>
      </c>
      <c r="AF500" s="35" t="str">
        <f aca="false">IF(OR($H500="—",$H500=""),"—",MATCH($H500,IDX_SrcID,0))</f>
        <v>—</v>
      </c>
      <c r="AG500" s="104" t="n">
        <f aca="false">IF(AND($P500="高",OR($AD500=1,$X500=1)),1,0)</f>
        <v>0</v>
      </c>
      <c r="AH500" s="104" t="n">
        <f aca="false">IF(AND($P500="高",$AG500=0,OR($F500&lt;&gt;"原始數據",$T500&lt;&gt;1)),1,0)</f>
        <v>0</v>
      </c>
      <c r="AI500" s="53" t="str">
        <f aca="false">IF(AND($P500="高",ISNUMBER($AF500)),INDEX(IDX_SrcDate,$AF500),"—")</f>
        <v>—</v>
      </c>
      <c r="AJ500" s="104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6" t="s">
        <v>4464</v>
      </c>
      <c r="B501" s="215" t="s">
        <v>4244</v>
      </c>
      <c r="C501" s="36" t="s">
        <v>4388</v>
      </c>
      <c r="D501" s="36" t="s">
        <v>4465</v>
      </c>
      <c r="E501" s="19" t="s">
        <v>4435</v>
      </c>
      <c r="F501" s="36" t="s">
        <v>80</v>
      </c>
      <c r="G501" s="215" t="s">
        <v>3930</v>
      </c>
      <c r="H501" s="36" t="s">
        <v>587</v>
      </c>
      <c r="I501" s="6" t="s">
        <v>587</v>
      </c>
      <c r="J501" s="36" t="s">
        <v>587</v>
      </c>
      <c r="K501" s="215"/>
      <c r="L501" s="215"/>
      <c r="M501" s="215" t="s">
        <v>3102</v>
      </c>
      <c r="N501" s="19" t="s">
        <v>4466</v>
      </c>
      <c r="O501" s="6" t="s">
        <v>587</v>
      </c>
      <c r="P501" s="215" t="s">
        <v>3188</v>
      </c>
      <c r="Q501" s="185" t="s">
        <v>587</v>
      </c>
      <c r="R501" s="36" t="s">
        <v>587</v>
      </c>
      <c r="S501" s="35" t="str">
        <f aca="false">IF(ISNUMBER($AF501),INDEX(IDX_SrcStat,$AF501),"—")</f>
        <v>—</v>
      </c>
      <c r="T501" s="35" t="str">
        <f aca="false">IF(ISNUMBER($AF501),INDEX(IDX_SrcGrade,$AF501),"—")</f>
        <v>—</v>
      </c>
      <c r="U501" s="36" t="s">
        <v>587</v>
      </c>
      <c r="V501" s="186" t="n">
        <f aca="false">IF(AND($F501="原始數據",$U501&lt;&gt;"連結 SRC"),1,0)</f>
        <v>0</v>
      </c>
      <c r="W501" s="186" t="n">
        <f aca="false">IF(AND($F501="Analogy",OR($H501="—",$H501="")),1,0)</f>
        <v>0</v>
      </c>
      <c r="X501" s="186" t="n">
        <f aca="false">IF(AND(OR($F501="Analogy",$F501="Assumed"),$G501&lt;&gt;"低",$G501&lt;&gt;"高",NOT(ISNUMBER($K501)),NOT(ISNUMBER($L501)),OR($M501="—",$M501="")),1,0)</f>
        <v>0</v>
      </c>
      <c r="Y501" s="186" t="n">
        <f aca="false">IF(AND(OR($F501="Analogy",$F501="Assumed",$F501="Derived（待改公式）",$F501="Derived（公式）"),OR($N501="—",$N501="",$N501=0)),1,0)</f>
        <v>0</v>
      </c>
      <c r="Z501" s="186" t="n">
        <f aca="false">IF(AND($F501="Decision",OR($J501="—",$J501="")),1,0)</f>
        <v>0</v>
      </c>
      <c r="AA501" s="183" t="n">
        <f aca="false">IF(OR($J501="—",$J501=""),0,IF(COUNTIF(Decisions!$A$5:$A$300,$J501)=0,1,0))</f>
        <v>0</v>
      </c>
      <c r="AB501" s="186" t="n">
        <f aca="false">IF(AND($F501="原始數據",$S501&lt;&gt;"Active"),1,0)</f>
        <v>0</v>
      </c>
      <c r="AC501" s="186" t="n">
        <f aca="false">IF(AND(ISNUMBER($K501),ISNUMBER($L501),ISNUMBER($Q501)),IF(OR($Q501&lt;MIN($K501,$L501),$Q501&gt;MAX($K501,$L501)),1,0),0)</f>
        <v>0</v>
      </c>
      <c r="AD501" s="186" t="n">
        <f aca="false">IF(AND(ISNUMBER($T501),$P501="高"),IF($T501=3,1,0),0)</f>
        <v>0</v>
      </c>
      <c r="AE501" s="186" t="n">
        <f aca="false">IF($S501="不存在",1,0)</f>
        <v>0</v>
      </c>
      <c r="AF501" s="35" t="str">
        <f aca="false">IF(OR($H501="—",$H501=""),"—",MATCH($H501,IDX_SrcID,0))</f>
        <v>—</v>
      </c>
      <c r="AG501" s="104" t="n">
        <f aca="false">IF(AND($P501="高",OR($AD501=1,$X501=1)),1,0)</f>
        <v>0</v>
      </c>
      <c r="AH501" s="104" t="n">
        <f aca="false">IF(AND($P501="高",$AG501=0,OR($F501&lt;&gt;"原始數據",$T501&lt;&gt;1)),1,0)</f>
        <v>0</v>
      </c>
      <c r="AI501" s="53" t="str">
        <f aca="false">IF(AND($P501="高",ISNUMBER($AF501)),INDEX(IDX_SrcDate,$AF501),"—")</f>
        <v>—</v>
      </c>
      <c r="AJ501" s="104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6" t="s">
        <v>4467</v>
      </c>
      <c r="B502" s="215" t="s">
        <v>4244</v>
      </c>
      <c r="C502" s="36" t="s">
        <v>4388</v>
      </c>
      <c r="D502" s="36" t="s">
        <v>4468</v>
      </c>
      <c r="E502" s="19" t="s">
        <v>1485</v>
      </c>
      <c r="F502" s="36" t="s">
        <v>84</v>
      </c>
      <c r="G502" s="215" t="s">
        <v>3930</v>
      </c>
      <c r="H502" s="36" t="s">
        <v>3921</v>
      </c>
      <c r="I502" s="19" t="s">
        <v>4469</v>
      </c>
      <c r="J502" s="36" t="s">
        <v>587</v>
      </c>
      <c r="K502" s="215"/>
      <c r="L502" s="215"/>
      <c r="M502" s="36" t="s">
        <v>4470</v>
      </c>
      <c r="N502" s="19" t="s">
        <v>4471</v>
      </c>
      <c r="O502" s="6" t="s">
        <v>587</v>
      </c>
      <c r="P502" s="215" t="s">
        <v>3188</v>
      </c>
      <c r="Q502" s="185" t="s">
        <v>587</v>
      </c>
      <c r="R502" s="185" t="n">
        <f aca="false">SRC_HAR_002</f>
        <v>15</v>
      </c>
      <c r="S502" s="35" t="str">
        <f aca="false">IF(ISNUMBER($AF502),INDEX(IDX_SrcStat,$AF502),"—")</f>
        <v>Active</v>
      </c>
      <c r="T502" s="35" t="n">
        <f aca="false">IF(ISNUMBER($AF502),INDEX(IDX_SrcGrade,$AF502),"—")</f>
        <v>2</v>
      </c>
      <c r="U502" s="36" t="s">
        <v>587</v>
      </c>
      <c r="V502" s="186" t="n">
        <f aca="false">IF(AND($F502="原始數據",$U502&lt;&gt;"連結 SRC"),1,0)</f>
        <v>0</v>
      </c>
      <c r="W502" s="186" t="n">
        <f aca="false">IF(AND($F502="Analogy",OR($H502="—",$H502="")),1,0)</f>
        <v>0</v>
      </c>
      <c r="X502" s="186" t="n">
        <f aca="false">IF(AND(OR($F502="Analogy",$F502="Assumed"),$G502&lt;&gt;"低",$G502&lt;&gt;"高",NOT(ISNUMBER($K502)),NOT(ISNUMBER($L502)),OR($M502="—",$M502="")),1,0)</f>
        <v>0</v>
      </c>
      <c r="Y502" s="186" t="n">
        <f aca="false">IF(AND(OR($F502="Analogy",$F502="Assumed",$F502="Derived（待改公式）",$F502="Derived（公式）"),OR($N502="—",$N502="",$N502=0)),1,0)</f>
        <v>0</v>
      </c>
      <c r="Z502" s="186" t="n">
        <f aca="false">IF(AND($F502="Decision",OR($J502="—",$J502="")),1,0)</f>
        <v>0</v>
      </c>
      <c r="AA502" s="183" t="n">
        <f aca="false">IF(OR($J502="—",$J502=""),0,IF(COUNTIF(Decisions!$A$5:$A$300,$J502)=0,1,0))</f>
        <v>0</v>
      </c>
      <c r="AB502" s="186" t="n">
        <f aca="false">IF(AND($F502="原始數據",$S502&lt;&gt;"Active"),1,0)</f>
        <v>0</v>
      </c>
      <c r="AC502" s="186" t="n">
        <f aca="false">IF(AND(ISNUMBER($K502),ISNUMBER($L502),ISNUMBER($Q502)),IF(OR($Q502&lt;MIN($K502,$L502),$Q502&gt;MAX($K502,$L502)),1,0),0)</f>
        <v>0</v>
      </c>
      <c r="AD502" s="186" t="n">
        <f aca="false">IF(AND(ISNUMBER($T502),$P502="高"),IF($T502=3,1,0),0)</f>
        <v>0</v>
      </c>
      <c r="AE502" s="186" t="n">
        <f aca="false">IF($S502="不存在",1,0)</f>
        <v>0</v>
      </c>
      <c r="AF502" s="35" t="n">
        <f aca="false">IF(OR($H502="—",$H502=""),"—",MATCH($H502,IDX_SrcID,0))</f>
        <v>564</v>
      </c>
      <c r="AG502" s="104" t="n">
        <f aca="false">IF(AND($P502="高",OR($AD502=1,$X502=1)),1,0)</f>
        <v>0</v>
      </c>
      <c r="AH502" s="104" t="n">
        <f aca="false">IF(AND($P502="高",$AG502=0,OR($F502&lt;&gt;"原始數據",$T502&lt;&gt;1)),1,0)</f>
        <v>0</v>
      </c>
      <c r="AI502" s="53" t="str">
        <f aca="false">IF(AND($P502="高",ISNUMBER($AF502)),INDEX(IDX_SrcDate,$AF502),"—")</f>
        <v>—</v>
      </c>
      <c r="AJ502" s="104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6" t="s">
        <v>4472</v>
      </c>
      <c r="B503" s="215" t="s">
        <v>4244</v>
      </c>
      <c r="C503" s="36" t="s">
        <v>4388</v>
      </c>
      <c r="D503" s="36" t="s">
        <v>4473</v>
      </c>
      <c r="E503" s="6" t="s">
        <v>1499</v>
      </c>
      <c r="F503" s="36" t="s">
        <v>84</v>
      </c>
      <c r="G503" s="215" t="s">
        <v>3930</v>
      </c>
      <c r="H503" s="36" t="s">
        <v>4474</v>
      </c>
      <c r="I503" s="19" t="s">
        <v>4475</v>
      </c>
      <c r="J503" s="36" t="s">
        <v>587</v>
      </c>
      <c r="K503" s="215"/>
      <c r="L503" s="215"/>
      <c r="M503" s="215" t="s">
        <v>4476</v>
      </c>
      <c r="N503" s="19" t="s">
        <v>4477</v>
      </c>
      <c r="O503" s="6" t="s">
        <v>587</v>
      </c>
      <c r="P503" s="215" t="s">
        <v>3244</v>
      </c>
      <c r="Q503" s="185" t="s">
        <v>587</v>
      </c>
      <c r="R503" s="185" t="n">
        <f aca="false">SRC_CAP_020</f>
        <v>11.3</v>
      </c>
      <c r="S503" s="35" t="str">
        <f aca="false">IF(ISNUMBER($AF503),INDEX(IDX_SrcStat,$AF503),"—")</f>
        <v>Active</v>
      </c>
      <c r="T503" s="35" t="n">
        <f aca="false">IF(ISNUMBER($AF503),INDEX(IDX_SrcGrade,$AF503),"—")</f>
        <v>2</v>
      </c>
      <c r="U503" s="36" t="s">
        <v>587</v>
      </c>
      <c r="V503" s="186" t="n">
        <f aca="false">IF(AND($F503="原始數據",$U503&lt;&gt;"連結 SRC"),1,0)</f>
        <v>0</v>
      </c>
      <c r="W503" s="186" t="n">
        <f aca="false">IF(AND($F503="Analogy",OR($H503="—",$H503="")),1,0)</f>
        <v>0</v>
      </c>
      <c r="X503" s="186" t="n">
        <f aca="false">IF(AND(OR($F503="Analogy",$F503="Assumed"),$G503&lt;&gt;"低",$G503&lt;&gt;"高",NOT(ISNUMBER($K503)),NOT(ISNUMBER($L503)),OR($M503="—",$M503="")),1,0)</f>
        <v>0</v>
      </c>
      <c r="Y503" s="186" t="n">
        <f aca="false">IF(AND(OR($F503="Analogy",$F503="Assumed",$F503="Derived（待改公式）",$F503="Derived（公式）"),OR($N503="—",$N503="",$N503=0)),1,0)</f>
        <v>0</v>
      </c>
      <c r="Z503" s="186" t="n">
        <f aca="false">IF(AND($F503="Decision",OR($J503="—",$J503="")),1,0)</f>
        <v>0</v>
      </c>
      <c r="AA503" s="183" t="n">
        <f aca="false">IF(OR($J503="—",$J503=""),0,IF(COUNTIF(Decisions!$A$5:$A$300,$J503)=0,1,0))</f>
        <v>0</v>
      </c>
      <c r="AB503" s="186" t="n">
        <f aca="false">IF(AND($F503="原始數據",$S503&lt;&gt;"Active"),1,0)</f>
        <v>0</v>
      </c>
      <c r="AC503" s="186" t="n">
        <f aca="false">IF(AND(ISNUMBER($K503),ISNUMBER($L503),ISNUMBER($Q503)),IF(OR($Q503&lt;MIN($K503,$L503),$Q503&gt;MAX($K503,$L503)),1,0),0)</f>
        <v>0</v>
      </c>
      <c r="AD503" s="186" t="n">
        <f aca="false">IF(AND(ISNUMBER($T503),$P503="高"),IF($T503=3,1,0),0)</f>
        <v>0</v>
      </c>
      <c r="AE503" s="186" t="n">
        <f aca="false">IF($S503="不存在",1,0)</f>
        <v>0</v>
      </c>
      <c r="AF503" s="35" t="n">
        <f aca="false">IF(OR($H503="—",$H503=""),"—",MATCH($H503,IDX_SrcID,0))</f>
        <v>511</v>
      </c>
      <c r="AG503" s="104" t="n">
        <f aca="false">IF(AND($P503="高",OR($AD503=1,$X503=1)),1,0)</f>
        <v>0</v>
      </c>
      <c r="AH503" s="104" t="n">
        <f aca="false">IF(AND($P503="高",$AG503=0,OR($F503&lt;&gt;"原始數據",$T503&lt;&gt;1)),1,0)</f>
        <v>0</v>
      </c>
      <c r="AI503" s="53" t="str">
        <f aca="false">IF(AND($P503="高",ISNUMBER($AF503)),INDEX(IDX_SrcDate,$AF503),"—")</f>
        <v>—</v>
      </c>
      <c r="AJ503" s="104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6" t="s">
        <v>4478</v>
      </c>
      <c r="B504" s="215" t="s">
        <v>4244</v>
      </c>
      <c r="C504" s="36" t="s">
        <v>4388</v>
      </c>
      <c r="D504" s="36" t="s">
        <v>4479</v>
      </c>
      <c r="E504" s="6" t="s">
        <v>1501</v>
      </c>
      <c r="F504" s="36" t="s">
        <v>84</v>
      </c>
      <c r="G504" s="215" t="s">
        <v>1115</v>
      </c>
      <c r="H504" s="36" t="s">
        <v>4474</v>
      </c>
      <c r="I504" s="19" t="s">
        <v>3208</v>
      </c>
      <c r="J504" s="36" t="s">
        <v>587</v>
      </c>
      <c r="K504" s="215"/>
      <c r="L504" s="215"/>
      <c r="M504" s="36" t="s">
        <v>587</v>
      </c>
      <c r="N504" s="19" t="s">
        <v>4480</v>
      </c>
      <c r="O504" s="6" t="s">
        <v>587</v>
      </c>
      <c r="P504" s="215" t="s">
        <v>3188</v>
      </c>
      <c r="Q504" s="185" t="s">
        <v>587</v>
      </c>
      <c r="R504" s="185" t="n">
        <f aca="false">SRC_CAP_020</f>
        <v>11.3</v>
      </c>
      <c r="S504" s="35" t="str">
        <f aca="false">IF(ISNUMBER($AF504),INDEX(IDX_SrcStat,$AF504),"—")</f>
        <v>Active</v>
      </c>
      <c r="T504" s="35" t="n">
        <f aca="false">IF(ISNUMBER($AF504),INDEX(IDX_SrcGrade,$AF504),"—")</f>
        <v>2</v>
      </c>
      <c r="U504" s="36" t="s">
        <v>587</v>
      </c>
      <c r="V504" s="186" t="n">
        <f aca="false">IF(AND($F504="原始數據",$U504&lt;&gt;"連結 SRC"),1,0)</f>
        <v>0</v>
      </c>
      <c r="W504" s="186" t="n">
        <f aca="false">IF(AND($F504="Analogy",OR($H504="—",$H504="")),1,0)</f>
        <v>0</v>
      </c>
      <c r="X504" s="186" t="n">
        <f aca="false">IF(AND(OR($F504="Analogy",$F504="Assumed"),$G504&lt;&gt;"低",$G504&lt;&gt;"高",NOT(ISNUMBER($K504)),NOT(ISNUMBER($L504)),OR($M504="—",$M504="")),1,0)</f>
        <v>0</v>
      </c>
      <c r="Y504" s="186" t="n">
        <f aca="false">IF(AND(OR($F504="Analogy",$F504="Assumed",$F504="Derived（待改公式）",$F504="Derived（公式）"),OR($N504="—",$N504="",$N504=0)),1,0)</f>
        <v>0</v>
      </c>
      <c r="Z504" s="186" t="n">
        <f aca="false">IF(AND($F504="Decision",OR($J504="—",$J504="")),1,0)</f>
        <v>0</v>
      </c>
      <c r="AA504" s="183" t="n">
        <f aca="false">IF(OR($J504="—",$J504=""),0,IF(COUNTIF(Decisions!$A$5:$A$300,$J504)=0,1,0))</f>
        <v>0</v>
      </c>
      <c r="AB504" s="186" t="n">
        <f aca="false">IF(AND($F504="原始數據",$S504&lt;&gt;"Active"),1,0)</f>
        <v>0</v>
      </c>
      <c r="AC504" s="186" t="n">
        <f aca="false">IF(AND(ISNUMBER($K504),ISNUMBER($L504),ISNUMBER($Q504)),IF(OR($Q504&lt;MIN($K504,$L504),$Q504&gt;MAX($K504,$L504)),1,0),0)</f>
        <v>0</v>
      </c>
      <c r="AD504" s="186" t="n">
        <f aca="false">IF(AND(ISNUMBER($T504),$P504="高"),IF($T504=3,1,0),0)</f>
        <v>0</v>
      </c>
      <c r="AE504" s="186" t="n">
        <f aca="false">IF($S504="不存在",1,0)</f>
        <v>0</v>
      </c>
      <c r="AF504" s="35" t="n">
        <f aca="false">IF(OR($H504="—",$H504=""),"—",MATCH($H504,IDX_SrcID,0))</f>
        <v>511</v>
      </c>
      <c r="AG504" s="104" t="n">
        <f aca="false">IF(AND($P504="高",OR($AD504=1,$X504=1)),1,0)</f>
        <v>0</v>
      </c>
      <c r="AH504" s="104" t="n">
        <f aca="false">IF(AND($P504="高",$AG504=0,OR($F504&lt;&gt;"原始數據",$T504&lt;&gt;1)),1,0)</f>
        <v>0</v>
      </c>
      <c r="AI504" s="53" t="str">
        <f aca="false">IF(AND($P504="高",ISNUMBER($AF504)),INDEX(IDX_SrcDate,$AF504),"—")</f>
        <v>—</v>
      </c>
      <c r="AJ504" s="104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6" t="s">
        <v>4481</v>
      </c>
      <c r="B505" s="215" t="s">
        <v>4244</v>
      </c>
      <c r="C505" s="36" t="s">
        <v>4388</v>
      </c>
      <c r="D505" s="36" t="s">
        <v>4482</v>
      </c>
      <c r="E505" s="6" t="s">
        <v>1502</v>
      </c>
      <c r="F505" s="36" t="s">
        <v>84</v>
      </c>
      <c r="G505" s="215" t="s">
        <v>1116</v>
      </c>
      <c r="H505" s="36" t="s">
        <v>4483</v>
      </c>
      <c r="I505" s="19" t="s">
        <v>4484</v>
      </c>
      <c r="J505" s="36" t="s">
        <v>587</v>
      </c>
      <c r="K505" s="215"/>
      <c r="L505" s="215"/>
      <c r="M505" s="36" t="s">
        <v>587</v>
      </c>
      <c r="N505" s="19" t="s">
        <v>4485</v>
      </c>
      <c r="O505" s="6" t="s">
        <v>587</v>
      </c>
      <c r="P505" s="215" t="s">
        <v>3188</v>
      </c>
      <c r="Q505" s="185" t="s">
        <v>587</v>
      </c>
      <c r="R505" s="185" t="n">
        <f aca="false">SRC_CAP_021</f>
        <v>17.4</v>
      </c>
      <c r="S505" s="35" t="str">
        <f aca="false">IF(ISNUMBER($AF505),INDEX(IDX_SrcStat,$AF505),"—")</f>
        <v>Active</v>
      </c>
      <c r="T505" s="35" t="n">
        <f aca="false">IF(ISNUMBER($AF505),INDEX(IDX_SrcGrade,$AF505),"—")</f>
        <v>2</v>
      </c>
      <c r="U505" s="36" t="s">
        <v>587</v>
      </c>
      <c r="V505" s="186" t="n">
        <f aca="false">IF(AND($F505="原始數據",$U505&lt;&gt;"連結 SRC"),1,0)</f>
        <v>0</v>
      </c>
      <c r="W505" s="186" t="n">
        <f aca="false">IF(AND($F505="Analogy",OR($H505="—",$H505="")),1,0)</f>
        <v>0</v>
      </c>
      <c r="X505" s="186" t="n">
        <f aca="false">IF(AND(OR($F505="Analogy",$F505="Assumed"),$G505&lt;&gt;"低",$G505&lt;&gt;"高",NOT(ISNUMBER($K505)),NOT(ISNUMBER($L505)),OR($M505="—",$M505="")),1,0)</f>
        <v>0</v>
      </c>
      <c r="Y505" s="186" t="n">
        <f aca="false">IF(AND(OR($F505="Analogy",$F505="Assumed",$F505="Derived（待改公式）",$F505="Derived（公式）"),OR($N505="—",$N505="",$N505=0)),1,0)</f>
        <v>0</v>
      </c>
      <c r="Z505" s="186" t="n">
        <f aca="false">IF(AND($F505="Decision",OR($J505="—",$J505="")),1,0)</f>
        <v>0</v>
      </c>
      <c r="AA505" s="183" t="n">
        <f aca="false">IF(OR($J505="—",$J505=""),0,IF(COUNTIF(Decisions!$A$5:$A$300,$J505)=0,1,0))</f>
        <v>0</v>
      </c>
      <c r="AB505" s="186" t="n">
        <f aca="false">IF(AND($F505="原始數據",$S505&lt;&gt;"Active"),1,0)</f>
        <v>0</v>
      </c>
      <c r="AC505" s="186" t="n">
        <f aca="false">IF(AND(ISNUMBER($K505),ISNUMBER($L505),ISNUMBER($Q505)),IF(OR($Q505&lt;MIN($K505,$L505),$Q505&gt;MAX($K505,$L505)),1,0),0)</f>
        <v>0</v>
      </c>
      <c r="AD505" s="186" t="n">
        <f aca="false">IF(AND(ISNUMBER($T505),$P505="高"),IF($T505=3,1,0),0)</f>
        <v>0</v>
      </c>
      <c r="AE505" s="186" t="n">
        <f aca="false">IF($S505="不存在",1,0)</f>
        <v>0</v>
      </c>
      <c r="AF505" s="35" t="n">
        <f aca="false">IF(OR($H505="—",$H505=""),"—",MATCH($H505,IDX_SrcID,0))</f>
        <v>512</v>
      </c>
      <c r="AG505" s="104" t="n">
        <f aca="false">IF(AND($P505="高",OR($AD505=1,$X505=1)),1,0)</f>
        <v>0</v>
      </c>
      <c r="AH505" s="104" t="n">
        <f aca="false">IF(AND($P505="高",$AG505=0,OR($F505&lt;&gt;"原始數據",$T505&lt;&gt;1)),1,0)</f>
        <v>0</v>
      </c>
      <c r="AI505" s="53" t="str">
        <f aca="false">IF(AND($P505="高",ISNUMBER($AF505)),INDEX(IDX_SrcDate,$AF505),"—")</f>
        <v>—</v>
      </c>
      <c r="AJ505" s="104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6" t="s">
        <v>4486</v>
      </c>
      <c r="B506" s="215" t="s">
        <v>4244</v>
      </c>
      <c r="C506" s="36" t="s">
        <v>4388</v>
      </c>
      <c r="D506" s="36" t="s">
        <v>4487</v>
      </c>
      <c r="E506" s="19" t="s">
        <v>4488</v>
      </c>
      <c r="F506" s="36" t="s">
        <v>84</v>
      </c>
      <c r="G506" s="215" t="s">
        <v>65</v>
      </c>
      <c r="H506" s="36" t="s">
        <v>4489</v>
      </c>
      <c r="I506" s="19" t="s">
        <v>4490</v>
      </c>
      <c r="J506" s="36" t="s">
        <v>587</v>
      </c>
      <c r="K506" s="175" t="n">
        <f aca="false">Har_In!D51</f>
        <v>0.65</v>
      </c>
      <c r="L506" s="175" t="n">
        <f aca="false">Har_In!E51</f>
        <v>1</v>
      </c>
      <c r="M506" s="36" t="s">
        <v>587</v>
      </c>
      <c r="N506" s="6" t="s">
        <v>4491</v>
      </c>
      <c r="O506" s="6" t="s">
        <v>4492</v>
      </c>
      <c r="P506" s="215" t="s">
        <v>3244</v>
      </c>
      <c r="Q506" s="175" t="n">
        <f aca="false">Har_In!C51</f>
        <v>0.75</v>
      </c>
      <c r="R506" s="185" t="n">
        <f aca="false">SRC_CAP_012</f>
        <v>3.5667</v>
      </c>
      <c r="S506" s="35" t="str">
        <f aca="false">IF(ISNUMBER($AF506),INDEX(IDX_SrcStat,$AF506),"—")</f>
        <v>Active</v>
      </c>
      <c r="T506" s="35" t="n">
        <f aca="false">IF(ISNUMBER($AF506),INDEX(IDX_SrcGrade,$AF506),"—")</f>
        <v>2</v>
      </c>
      <c r="U506" s="35" t="s">
        <v>3189</v>
      </c>
      <c r="V506" s="186" t="n">
        <f aca="false">IF(AND($F506="原始數據",$U506&lt;&gt;"連結 SRC"),1,0)</f>
        <v>0</v>
      </c>
      <c r="W506" s="186" t="n">
        <f aca="false">IF(AND($F506="Analogy",OR($H506="—",$H506="")),1,0)</f>
        <v>0</v>
      </c>
      <c r="X506" s="186" t="n">
        <f aca="false">IF(AND(OR($F506="Analogy",$F506="Assumed"),$G506&lt;&gt;"低",$G506&lt;&gt;"高",NOT(ISNUMBER($K506)),NOT(ISNUMBER($L506)),OR($M506="—",$M506="")),1,0)</f>
        <v>0</v>
      </c>
      <c r="Y506" s="186" t="n">
        <f aca="false">IF(AND(OR($F506="Analogy",$F506="Assumed",$F506="Derived（待改公式）",$F506="Derived（公式）"),OR($N506="—",$N506="",$N506=0)),1,0)</f>
        <v>0</v>
      </c>
      <c r="Z506" s="186" t="n">
        <f aca="false">IF(AND($F506="Decision",OR($J506="—",$J506="")),1,0)</f>
        <v>0</v>
      </c>
      <c r="AA506" s="183" t="n">
        <f aca="false">IF(OR($J506="—",$J506=""),0,IF(COUNTIF(Decisions!$A$5:$A$300,$J506)=0,1,0))</f>
        <v>0</v>
      </c>
      <c r="AB506" s="186" t="n">
        <f aca="false">IF(AND($F506="原始數據",$S506&lt;&gt;"Active"),1,0)</f>
        <v>0</v>
      </c>
      <c r="AC506" s="186" t="n">
        <f aca="false">IF(AND(ISNUMBER($K506),ISNUMBER($L506),ISNUMBER($Q506)),IF(OR($Q506&lt;MIN($K506,$L506),$Q506&gt;MAX($K506,$L506)),1,0),0)</f>
        <v>0</v>
      </c>
      <c r="AD506" s="186" t="n">
        <f aca="false">IF(AND(ISNUMBER($T506),$P506="高"),IF($T506=3,1,0),0)</f>
        <v>0</v>
      </c>
      <c r="AE506" s="186" t="n">
        <f aca="false">IF($S506="不存在",1,0)</f>
        <v>0</v>
      </c>
      <c r="AF506" s="35" t="n">
        <f aca="false">IF(OR($H506="—",$H506=""),"—",MATCH($H506,IDX_SrcID,0))</f>
        <v>503</v>
      </c>
      <c r="AG506" s="104" t="n">
        <f aca="false">IF(AND($P506="高",OR($AD506=1,$X506=1)),1,0)</f>
        <v>0</v>
      </c>
      <c r="AH506" s="104" t="n">
        <f aca="false">IF(AND($P506="高",$AG506=0,OR($F506&lt;&gt;"原始數據",$T506&lt;&gt;1)),1,0)</f>
        <v>0</v>
      </c>
      <c r="AI506" s="53" t="str">
        <f aca="false">IF(AND($P506="高",ISNUMBER($AF506)),INDEX(IDX_SrcDate,$AF506),"—")</f>
        <v>—</v>
      </c>
      <c r="AJ506" s="104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6" t="s">
        <v>4493</v>
      </c>
      <c r="B507" s="215" t="s">
        <v>4244</v>
      </c>
      <c r="C507" s="36" t="s">
        <v>4388</v>
      </c>
      <c r="D507" s="36" t="s">
        <v>4494</v>
      </c>
      <c r="E507" s="19" t="s">
        <v>4488</v>
      </c>
      <c r="F507" s="36" t="s">
        <v>84</v>
      </c>
      <c r="G507" s="215" t="s">
        <v>4250</v>
      </c>
      <c r="H507" s="36" t="s">
        <v>4489</v>
      </c>
      <c r="I507" s="19" t="s">
        <v>4490</v>
      </c>
      <c r="J507" s="36" t="s">
        <v>587</v>
      </c>
      <c r="K507" s="215"/>
      <c r="L507" s="215"/>
      <c r="M507" s="36" t="s">
        <v>4495</v>
      </c>
      <c r="N507" s="6" t="s">
        <v>4496</v>
      </c>
      <c r="O507" s="6" t="s">
        <v>587</v>
      </c>
      <c r="P507" s="215" t="s">
        <v>3188</v>
      </c>
      <c r="Q507" s="185" t="s">
        <v>587</v>
      </c>
      <c r="R507" s="185" t="n">
        <f aca="false">SRC_CAP_012</f>
        <v>3.5667</v>
      </c>
      <c r="S507" s="35" t="str">
        <f aca="false">IF(ISNUMBER($AF507),INDEX(IDX_SrcStat,$AF507),"—")</f>
        <v>Active</v>
      </c>
      <c r="T507" s="35" t="n">
        <f aca="false">IF(ISNUMBER($AF507),INDEX(IDX_SrcGrade,$AF507),"—")</f>
        <v>2</v>
      </c>
      <c r="U507" s="36" t="s">
        <v>587</v>
      </c>
      <c r="V507" s="186" t="n">
        <f aca="false">IF(AND($F507="原始數據",$U507&lt;&gt;"連結 SRC"),1,0)</f>
        <v>0</v>
      </c>
      <c r="W507" s="186" t="n">
        <f aca="false">IF(AND($F507="Analogy",OR($H507="—",$H507="")),1,0)</f>
        <v>0</v>
      </c>
      <c r="X507" s="186" t="n">
        <f aca="false">IF(AND(OR($F507="Analogy",$F507="Assumed"),$G507&lt;&gt;"低",$G507&lt;&gt;"高",NOT(ISNUMBER($K507)),NOT(ISNUMBER($L507)),OR($M507="—",$M507="")),1,0)</f>
        <v>0</v>
      </c>
      <c r="Y507" s="186" t="n">
        <f aca="false">IF(AND(OR($F507="Analogy",$F507="Assumed",$F507="Derived（待改公式）",$F507="Derived（公式）"),OR($N507="—",$N507="",$N507=0)),1,0)</f>
        <v>0</v>
      </c>
      <c r="Z507" s="186" t="n">
        <f aca="false">IF(AND($F507="Decision",OR($J507="—",$J507="")),1,0)</f>
        <v>0</v>
      </c>
      <c r="AA507" s="183" t="n">
        <f aca="false">IF(OR($J507="—",$J507=""),0,IF(COUNTIF(Decisions!$A$5:$A$300,$J507)=0,1,0))</f>
        <v>0</v>
      </c>
      <c r="AB507" s="186" t="n">
        <f aca="false">IF(AND($F507="原始數據",$S507&lt;&gt;"Active"),1,0)</f>
        <v>0</v>
      </c>
      <c r="AC507" s="186" t="n">
        <f aca="false">IF(AND(ISNUMBER($K507),ISNUMBER($L507),ISNUMBER($Q507)),IF(OR($Q507&lt;MIN($K507,$L507),$Q507&gt;MAX($K507,$L507)),1,0),0)</f>
        <v>0</v>
      </c>
      <c r="AD507" s="186" t="n">
        <f aca="false">IF(AND(ISNUMBER($T507),$P507="高"),IF($T507=3,1,0),0)</f>
        <v>0</v>
      </c>
      <c r="AE507" s="186" t="n">
        <f aca="false">IF($S507="不存在",1,0)</f>
        <v>0</v>
      </c>
      <c r="AF507" s="35" t="n">
        <f aca="false">IF(OR($H507="—",$H507=""),"—",MATCH($H507,IDX_SrcID,0))</f>
        <v>503</v>
      </c>
      <c r="AG507" s="104" t="n">
        <f aca="false">IF(AND($P507="高",OR($AD507=1,$X507=1)),1,0)</f>
        <v>0</v>
      </c>
      <c r="AH507" s="104" t="n">
        <f aca="false">IF(AND($P507="高",$AG507=0,OR($F507&lt;&gt;"原始數據",$T507&lt;&gt;1)),1,0)</f>
        <v>0</v>
      </c>
      <c r="AI507" s="53" t="str">
        <f aca="false">IF(AND($P507="高",ISNUMBER($AF507)),INDEX(IDX_SrcDate,$AF507),"—")</f>
        <v>—</v>
      </c>
      <c r="AJ507" s="104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6" t="s">
        <v>4497</v>
      </c>
      <c r="B508" s="215" t="s">
        <v>4244</v>
      </c>
      <c r="C508" s="36" t="s">
        <v>4388</v>
      </c>
      <c r="D508" s="36" t="s">
        <v>4498</v>
      </c>
      <c r="E508" s="19" t="s">
        <v>1507</v>
      </c>
      <c r="F508" s="36" t="s">
        <v>80</v>
      </c>
      <c r="G508" s="215" t="s">
        <v>3930</v>
      </c>
      <c r="H508" s="36" t="s">
        <v>587</v>
      </c>
      <c r="I508" s="6" t="s">
        <v>587</v>
      </c>
      <c r="J508" s="36" t="s">
        <v>587</v>
      </c>
      <c r="K508" s="215"/>
      <c r="L508" s="215"/>
      <c r="M508" s="215" t="s">
        <v>4499</v>
      </c>
      <c r="N508" s="6" t="s">
        <v>4500</v>
      </c>
      <c r="O508" s="6" t="s">
        <v>587</v>
      </c>
      <c r="P508" s="215" t="s">
        <v>3244</v>
      </c>
      <c r="Q508" s="185" t="s">
        <v>587</v>
      </c>
      <c r="R508" s="36" t="s">
        <v>587</v>
      </c>
      <c r="S508" s="35" t="str">
        <f aca="false">IF(ISNUMBER($AF508),INDEX(IDX_SrcStat,$AF508),"—")</f>
        <v>—</v>
      </c>
      <c r="T508" s="35" t="str">
        <f aca="false">IF(ISNUMBER($AF508),INDEX(IDX_SrcGrade,$AF508),"—")</f>
        <v>—</v>
      </c>
      <c r="U508" s="36" t="s">
        <v>587</v>
      </c>
      <c r="V508" s="186" t="n">
        <f aca="false">IF(AND($F508="原始數據",$U508&lt;&gt;"連結 SRC"),1,0)</f>
        <v>0</v>
      </c>
      <c r="W508" s="186" t="n">
        <f aca="false">IF(AND($F508="Analogy",OR($H508="—",$H508="")),1,0)</f>
        <v>0</v>
      </c>
      <c r="X508" s="186" t="n">
        <f aca="false">IF(AND(OR($F508="Analogy",$F508="Assumed"),$G508&lt;&gt;"低",$G508&lt;&gt;"高",NOT(ISNUMBER($K508)),NOT(ISNUMBER($L508)),OR($M508="—",$M508="")),1,0)</f>
        <v>0</v>
      </c>
      <c r="Y508" s="186" t="n">
        <f aca="false">IF(AND(OR($F508="Analogy",$F508="Assumed",$F508="Derived（待改公式）",$F508="Derived（公式）"),OR($N508="—",$N508="",$N508=0)),1,0)</f>
        <v>0</v>
      </c>
      <c r="Z508" s="186" t="n">
        <f aca="false">IF(AND($F508="Decision",OR($J508="—",$J508="")),1,0)</f>
        <v>0</v>
      </c>
      <c r="AA508" s="183" t="n">
        <f aca="false">IF(OR($J508="—",$J508=""),0,IF(COUNTIF(Decisions!$A$5:$A$300,$J508)=0,1,0))</f>
        <v>0</v>
      </c>
      <c r="AB508" s="186" t="n">
        <f aca="false">IF(AND($F508="原始數據",$S508&lt;&gt;"Active"),1,0)</f>
        <v>0</v>
      </c>
      <c r="AC508" s="186" t="n">
        <f aca="false">IF(AND(ISNUMBER($K508),ISNUMBER($L508),ISNUMBER($Q508)),IF(OR($Q508&lt;MIN($K508,$L508),$Q508&gt;MAX($K508,$L508)),1,0),0)</f>
        <v>0</v>
      </c>
      <c r="AD508" s="186" t="n">
        <f aca="false">IF(AND(ISNUMBER($T508),$P508="高"),IF($T508=3,1,0),0)</f>
        <v>0</v>
      </c>
      <c r="AE508" s="186" t="n">
        <f aca="false">IF($S508="不存在",1,0)</f>
        <v>0</v>
      </c>
      <c r="AF508" s="35" t="str">
        <f aca="false">IF(OR($H508="—",$H508=""),"—",MATCH($H508,IDX_SrcID,0))</f>
        <v>—</v>
      </c>
      <c r="AG508" s="104" t="n">
        <f aca="false">IF(AND($P508="高",OR($AD508=1,$X508=1)),1,0)</f>
        <v>0</v>
      </c>
      <c r="AH508" s="104" t="n">
        <f aca="false">IF(AND($P508="高",$AG508=0,OR($F508&lt;&gt;"原始數據",$T508&lt;&gt;1)),1,0)</f>
        <v>0</v>
      </c>
      <c r="AI508" s="53" t="str">
        <f aca="false">IF(AND($P508="高",ISNUMBER($AF508)),INDEX(IDX_SrcDate,$AF508),"—")</f>
        <v>—</v>
      </c>
      <c r="AJ508" s="104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6" t="s">
        <v>4501</v>
      </c>
      <c r="B509" s="215" t="s">
        <v>4244</v>
      </c>
      <c r="C509" s="36" t="s">
        <v>4388</v>
      </c>
      <c r="D509" s="36" t="s">
        <v>4502</v>
      </c>
      <c r="E509" s="19" t="s">
        <v>1473</v>
      </c>
      <c r="F509" s="215" t="s">
        <v>348</v>
      </c>
      <c r="G509" s="215" t="s">
        <v>3930</v>
      </c>
      <c r="H509" s="36" t="s">
        <v>587</v>
      </c>
      <c r="I509" s="6" t="s">
        <v>587</v>
      </c>
      <c r="J509" s="36" t="s">
        <v>587</v>
      </c>
      <c r="K509" s="215"/>
      <c r="L509" s="215"/>
      <c r="M509" s="215" t="s">
        <v>3102</v>
      </c>
      <c r="N509" s="6" t="s">
        <v>4503</v>
      </c>
      <c r="O509" s="6" t="s">
        <v>587</v>
      </c>
      <c r="P509" s="215" t="s">
        <v>3188</v>
      </c>
      <c r="Q509" s="185" t="s">
        <v>587</v>
      </c>
      <c r="R509" s="36" t="s">
        <v>587</v>
      </c>
      <c r="S509" s="35" t="str">
        <f aca="false">IF(ISNUMBER($AF509),INDEX(IDX_SrcStat,$AF509),"—")</f>
        <v>—</v>
      </c>
      <c r="T509" s="35" t="str">
        <f aca="false">IF(ISNUMBER($AF509),INDEX(IDX_SrcGrade,$AF509),"—")</f>
        <v>—</v>
      </c>
      <c r="U509" s="36" t="s">
        <v>587</v>
      </c>
      <c r="V509" s="186" t="n">
        <f aca="false">IF(AND($F509="原始數據",$U509&lt;&gt;"連結 SRC"),1,0)</f>
        <v>0</v>
      </c>
      <c r="W509" s="186" t="n">
        <f aca="false">IF(AND($F509="Analogy",OR($H509="—",$H509="")),1,0)</f>
        <v>0</v>
      </c>
      <c r="X509" s="186" t="n">
        <f aca="false">IF(AND(OR($F509="Analogy",$F509="Assumed"),$G509&lt;&gt;"低",$G509&lt;&gt;"高",NOT(ISNUMBER($K509)),NOT(ISNUMBER($L509)),OR($M509="—",$M509="")),1,0)</f>
        <v>0</v>
      </c>
      <c r="Y509" s="186" t="n">
        <f aca="false">IF(AND(OR($F509="Analogy",$F509="Assumed",$F509="Derived（待改公式）",$F509="Derived（公式）"),OR($N509="—",$N509="",$N509=0)),1,0)</f>
        <v>0</v>
      </c>
      <c r="Z509" s="186" t="n">
        <f aca="false">IF(AND($F509="Decision",OR($J509="—",$J509="")),1,0)</f>
        <v>0</v>
      </c>
      <c r="AA509" s="183" t="n">
        <f aca="false">IF(OR($J509="—",$J509=""),0,IF(COUNTIF(Decisions!$A$5:$A$300,$J509)=0,1,0))</f>
        <v>0</v>
      </c>
      <c r="AB509" s="186" t="n">
        <f aca="false">IF(AND($F509="原始數據",$S509&lt;&gt;"Active"),1,0)</f>
        <v>0</v>
      </c>
      <c r="AC509" s="186" t="n">
        <f aca="false">IF(AND(ISNUMBER($K509),ISNUMBER($L509),ISNUMBER($Q509)),IF(OR($Q509&lt;MIN($K509,$L509),$Q509&gt;MAX($K509,$L509)),1,0),0)</f>
        <v>0</v>
      </c>
      <c r="AD509" s="186" t="n">
        <f aca="false">IF(AND(ISNUMBER($T509),$P509="高"),IF($T509=3,1,0),0)</f>
        <v>0</v>
      </c>
      <c r="AE509" s="186" t="n">
        <f aca="false">IF($S509="不存在",1,0)</f>
        <v>0</v>
      </c>
      <c r="AF509" s="35" t="str">
        <f aca="false">IF(OR($H509="—",$H509=""),"—",MATCH($H509,IDX_SrcID,0))</f>
        <v>—</v>
      </c>
      <c r="AG509" s="104" t="n">
        <f aca="false">IF(AND($P509="高",OR($AD509=1,$X509=1)),1,0)</f>
        <v>0</v>
      </c>
      <c r="AH509" s="104" t="n">
        <f aca="false">IF(AND($P509="高",$AG509=0,OR($F509&lt;&gt;"原始數據",$T509&lt;&gt;1)),1,0)</f>
        <v>0</v>
      </c>
      <c r="AI509" s="53" t="str">
        <f aca="false">IF(AND($P509="高",ISNUMBER($AF509)),INDEX(IDX_SrcDate,$AF509),"—")</f>
        <v>—</v>
      </c>
      <c r="AJ509" s="104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6" t="s">
        <v>4504</v>
      </c>
      <c r="B510" s="215" t="s">
        <v>4244</v>
      </c>
      <c r="C510" s="36" t="s">
        <v>24</v>
      </c>
      <c r="D510" s="36" t="s">
        <v>4505</v>
      </c>
      <c r="E510" s="6" t="s">
        <v>585</v>
      </c>
      <c r="F510" s="36" t="s">
        <v>80</v>
      </c>
      <c r="G510" s="215" t="s">
        <v>3930</v>
      </c>
      <c r="H510" s="36" t="s">
        <v>587</v>
      </c>
      <c r="I510" s="6" t="s">
        <v>587</v>
      </c>
      <c r="J510" s="36" t="s">
        <v>587</v>
      </c>
      <c r="K510" s="215"/>
      <c r="L510" s="215"/>
      <c r="M510" s="215" t="s">
        <v>3102</v>
      </c>
      <c r="N510" s="6" t="s">
        <v>4506</v>
      </c>
      <c r="O510" s="6" t="s">
        <v>587</v>
      </c>
      <c r="P510" s="215" t="s">
        <v>3188</v>
      </c>
      <c r="Q510" s="185" t="s">
        <v>587</v>
      </c>
      <c r="R510" s="36" t="s">
        <v>587</v>
      </c>
      <c r="S510" s="35" t="str">
        <f aca="false">IF(ISNUMBER($AF510),INDEX(IDX_SrcStat,$AF510),"—")</f>
        <v>—</v>
      </c>
      <c r="T510" s="35" t="str">
        <f aca="false">IF(ISNUMBER($AF510),INDEX(IDX_SrcGrade,$AF510),"—")</f>
        <v>—</v>
      </c>
      <c r="U510" s="36" t="s">
        <v>587</v>
      </c>
      <c r="V510" s="186" t="n">
        <f aca="false">IF(AND($F510="原始數據",$U510&lt;&gt;"連結 SRC"),1,0)</f>
        <v>0</v>
      </c>
      <c r="W510" s="186" t="n">
        <f aca="false">IF(AND($F510="Analogy",OR($H510="—",$H510="")),1,0)</f>
        <v>0</v>
      </c>
      <c r="X510" s="186" t="n">
        <f aca="false">IF(AND(OR($F510="Analogy",$F510="Assumed"),$G510&lt;&gt;"低",$G510&lt;&gt;"高",NOT(ISNUMBER($K510)),NOT(ISNUMBER($L510)),OR($M510="—",$M510="")),1,0)</f>
        <v>0</v>
      </c>
      <c r="Y510" s="186" t="n">
        <f aca="false">IF(AND(OR($F510="Analogy",$F510="Assumed",$F510="Derived（待改公式）",$F510="Derived（公式）"),OR($N510="—",$N510="",$N510=0)),1,0)</f>
        <v>0</v>
      </c>
      <c r="Z510" s="186" t="n">
        <f aca="false">IF(AND($F510="Decision",OR($J510="—",$J510="")),1,0)</f>
        <v>0</v>
      </c>
      <c r="AA510" s="183" t="n">
        <f aca="false">IF(OR($J510="—",$J510=""),0,IF(COUNTIF(Decisions!$A$5:$A$300,$J510)=0,1,0))</f>
        <v>0</v>
      </c>
      <c r="AB510" s="186" t="n">
        <f aca="false">IF(AND($F510="原始數據",$S510&lt;&gt;"Active"),1,0)</f>
        <v>0</v>
      </c>
      <c r="AC510" s="186" t="n">
        <f aca="false">IF(AND(ISNUMBER($K510),ISNUMBER($L510),ISNUMBER($Q510)),IF(OR($Q510&lt;MIN($K510,$L510),$Q510&gt;MAX($K510,$L510)),1,0),0)</f>
        <v>0</v>
      </c>
      <c r="AD510" s="186" t="n">
        <f aca="false">IF(AND(ISNUMBER($T510),$P510="高"),IF($T510=3,1,0),0)</f>
        <v>0</v>
      </c>
      <c r="AE510" s="186" t="n">
        <f aca="false">IF($S510="不存在",1,0)</f>
        <v>0</v>
      </c>
      <c r="AF510" s="35" t="str">
        <f aca="false">IF(OR($H510="—",$H510=""),"—",MATCH($H510,IDX_SrcID,0))</f>
        <v>—</v>
      </c>
      <c r="AG510" s="104" t="n">
        <f aca="false">IF(AND($P510="高",OR($AD510=1,$X510=1)),1,0)</f>
        <v>0</v>
      </c>
      <c r="AH510" s="104" t="n">
        <f aca="false">IF(AND($P510="高",$AG510=0,OR($F510&lt;&gt;"原始數據",$T510&lt;&gt;1)),1,0)</f>
        <v>0</v>
      </c>
      <c r="AI510" s="53" t="str">
        <f aca="false">IF(AND($P510="高",ISNUMBER($AF510)),INDEX(IDX_SrcDate,$AF510),"—")</f>
        <v>—</v>
      </c>
      <c r="AJ510" s="104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6" t="s">
        <v>4507</v>
      </c>
      <c r="B511" s="215" t="s">
        <v>4244</v>
      </c>
      <c r="C511" s="36" t="s">
        <v>24</v>
      </c>
      <c r="D511" s="36" t="s">
        <v>4508</v>
      </c>
      <c r="E511" s="6" t="s">
        <v>607</v>
      </c>
      <c r="F511" s="36" t="s">
        <v>80</v>
      </c>
      <c r="G511" s="215" t="s">
        <v>3930</v>
      </c>
      <c r="H511" s="36" t="s">
        <v>587</v>
      </c>
      <c r="I511" s="6" t="s">
        <v>587</v>
      </c>
      <c r="J511" s="36" t="s">
        <v>587</v>
      </c>
      <c r="K511" s="215"/>
      <c r="L511" s="215"/>
      <c r="M511" s="36" t="s">
        <v>4509</v>
      </c>
      <c r="N511" s="6" t="s">
        <v>4510</v>
      </c>
      <c r="O511" s="6" t="s">
        <v>587</v>
      </c>
      <c r="P511" s="215" t="s">
        <v>3188</v>
      </c>
      <c r="Q511" s="185" t="s">
        <v>587</v>
      </c>
      <c r="R511" s="36" t="s">
        <v>587</v>
      </c>
      <c r="S511" s="35" t="str">
        <f aca="false">IF(ISNUMBER($AF511),INDEX(IDX_SrcStat,$AF511),"—")</f>
        <v>—</v>
      </c>
      <c r="T511" s="35" t="str">
        <f aca="false">IF(ISNUMBER($AF511),INDEX(IDX_SrcGrade,$AF511),"—")</f>
        <v>—</v>
      </c>
      <c r="U511" s="36" t="s">
        <v>587</v>
      </c>
      <c r="V511" s="186" t="n">
        <f aca="false">IF(AND($F511="原始數據",$U511&lt;&gt;"連結 SRC"),1,0)</f>
        <v>0</v>
      </c>
      <c r="W511" s="186" t="n">
        <f aca="false">IF(AND($F511="Analogy",OR($H511="—",$H511="")),1,0)</f>
        <v>0</v>
      </c>
      <c r="X511" s="186" t="n">
        <f aca="false">IF(AND(OR($F511="Analogy",$F511="Assumed"),$G511&lt;&gt;"低",$G511&lt;&gt;"高",NOT(ISNUMBER($K511)),NOT(ISNUMBER($L511)),OR($M511="—",$M511="")),1,0)</f>
        <v>0</v>
      </c>
      <c r="Y511" s="186" t="n">
        <f aca="false">IF(AND(OR($F511="Analogy",$F511="Assumed",$F511="Derived（待改公式）",$F511="Derived（公式）"),OR($N511="—",$N511="",$N511=0)),1,0)</f>
        <v>0</v>
      </c>
      <c r="Z511" s="186" t="n">
        <f aca="false">IF(AND($F511="Decision",OR($J511="—",$J511="")),1,0)</f>
        <v>0</v>
      </c>
      <c r="AA511" s="183" t="n">
        <f aca="false">IF(OR($J511="—",$J511=""),0,IF(COUNTIF(Decisions!$A$5:$A$300,$J511)=0,1,0))</f>
        <v>0</v>
      </c>
      <c r="AB511" s="186" t="n">
        <f aca="false">IF(AND($F511="原始數據",$S511&lt;&gt;"Active"),1,0)</f>
        <v>0</v>
      </c>
      <c r="AC511" s="186" t="n">
        <f aca="false">IF(AND(ISNUMBER($K511),ISNUMBER($L511),ISNUMBER($Q511)),IF(OR($Q511&lt;MIN($K511,$L511),$Q511&gt;MAX($K511,$L511)),1,0),0)</f>
        <v>0</v>
      </c>
      <c r="AD511" s="186" t="n">
        <f aca="false">IF(AND(ISNUMBER($T511),$P511="高"),IF($T511=3,1,0),0)</f>
        <v>0</v>
      </c>
      <c r="AE511" s="186" t="n">
        <f aca="false">IF($S511="不存在",1,0)</f>
        <v>0</v>
      </c>
      <c r="AF511" s="35" t="str">
        <f aca="false">IF(OR($H511="—",$H511=""),"—",MATCH($H511,IDX_SrcID,0))</f>
        <v>—</v>
      </c>
      <c r="AG511" s="104" t="n">
        <f aca="false">IF(AND($P511="高",OR($AD511=1,$X511=1)),1,0)</f>
        <v>0</v>
      </c>
      <c r="AH511" s="104" t="n">
        <f aca="false">IF(AND($P511="高",$AG511=0,OR($F511&lt;&gt;"原始數據",$T511&lt;&gt;1)),1,0)</f>
        <v>0</v>
      </c>
      <c r="AI511" s="53" t="str">
        <f aca="false">IF(AND($P511="高",ISNUMBER($AF511)),INDEX(IDX_SrcDate,$AF511),"—")</f>
        <v>—</v>
      </c>
      <c r="AJ511" s="104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6" t="s">
        <v>4511</v>
      </c>
      <c r="B512" s="215" t="s">
        <v>4244</v>
      </c>
      <c r="C512" s="36" t="s">
        <v>24</v>
      </c>
      <c r="D512" s="36" t="s">
        <v>4512</v>
      </c>
      <c r="E512" s="6" t="s">
        <v>614</v>
      </c>
      <c r="F512" s="36" t="s">
        <v>84</v>
      </c>
      <c r="G512" s="215" t="s">
        <v>3930</v>
      </c>
      <c r="H512" s="36" t="s">
        <v>3650</v>
      </c>
      <c r="I512" s="19" t="s">
        <v>4513</v>
      </c>
      <c r="J512" s="36" t="s">
        <v>587</v>
      </c>
      <c r="K512" s="215"/>
      <c r="L512" s="215"/>
      <c r="M512" s="36" t="s">
        <v>4509</v>
      </c>
      <c r="N512" s="6" t="s">
        <v>4514</v>
      </c>
      <c r="O512" s="6" t="s">
        <v>4515</v>
      </c>
      <c r="P512" s="215" t="s">
        <v>3188</v>
      </c>
      <c r="Q512" s="185" t="s">
        <v>587</v>
      </c>
      <c r="R512" s="185" t="n">
        <f aca="false">SRC_HW_037</f>
        <v>2520</v>
      </c>
      <c r="S512" s="35" t="str">
        <f aca="false">IF(ISNUMBER($AF512),INDEX(IDX_SrcStat,$AF512),"—")</f>
        <v>Active</v>
      </c>
      <c r="T512" s="35" t="n">
        <f aca="false">IF(ISNUMBER($AF512),INDEX(IDX_SrcGrade,$AF512),"—")</f>
        <v>2</v>
      </c>
      <c r="U512" s="36" t="s">
        <v>587</v>
      </c>
      <c r="V512" s="186" t="n">
        <f aca="false">IF(AND($F512="原始數據",$U512&lt;&gt;"連結 SRC"),1,0)</f>
        <v>0</v>
      </c>
      <c r="W512" s="186" t="n">
        <f aca="false">IF(AND($F512="Analogy",OR($H512="—",$H512="")),1,0)</f>
        <v>0</v>
      </c>
      <c r="X512" s="186" t="n">
        <f aca="false">IF(AND(OR($F512="Analogy",$F512="Assumed"),$G512&lt;&gt;"低",$G512&lt;&gt;"高",NOT(ISNUMBER($K512)),NOT(ISNUMBER($L512)),OR($M512="—",$M512="")),1,0)</f>
        <v>0</v>
      </c>
      <c r="Y512" s="186" t="n">
        <f aca="false">IF(AND(OR($F512="Analogy",$F512="Assumed",$F512="Derived（待改公式）",$F512="Derived（公式）"),OR($N512="—",$N512="",$N512=0)),1,0)</f>
        <v>0</v>
      </c>
      <c r="Z512" s="186" t="n">
        <f aca="false">IF(AND($F512="Decision",OR($J512="—",$J512="")),1,0)</f>
        <v>0</v>
      </c>
      <c r="AA512" s="183" t="n">
        <f aca="false">IF(OR($J512="—",$J512=""),0,IF(COUNTIF(Decisions!$A$5:$A$300,$J512)=0,1,0))</f>
        <v>0</v>
      </c>
      <c r="AB512" s="186" t="n">
        <f aca="false">IF(AND($F512="原始數據",$S512&lt;&gt;"Active"),1,0)</f>
        <v>0</v>
      </c>
      <c r="AC512" s="186" t="n">
        <f aca="false">IF(AND(ISNUMBER($K512),ISNUMBER($L512),ISNUMBER($Q512)),IF(OR($Q512&lt;MIN($K512,$L512),$Q512&gt;MAX($K512,$L512)),1,0),0)</f>
        <v>0</v>
      </c>
      <c r="AD512" s="186" t="n">
        <f aca="false">IF(AND(ISNUMBER($T512),$P512="高"),IF($T512=3,1,0),0)</f>
        <v>0</v>
      </c>
      <c r="AE512" s="186" t="n">
        <f aca="false">IF($S512="不存在",1,0)</f>
        <v>0</v>
      </c>
      <c r="AF512" s="35" t="n">
        <f aca="false">IF(OR($H512="—",$H512=""),"—",MATCH($H512,IDX_SrcID,0))</f>
        <v>37</v>
      </c>
      <c r="AG512" s="104" t="n">
        <f aca="false">IF(AND($P512="高",OR($AD512=1,$X512=1)),1,0)</f>
        <v>0</v>
      </c>
      <c r="AH512" s="104" t="n">
        <f aca="false">IF(AND($P512="高",$AG512=0,OR($F512&lt;&gt;"原始數據",$T512&lt;&gt;1)),1,0)</f>
        <v>0</v>
      </c>
      <c r="AI512" s="53" t="str">
        <f aca="false">IF(AND($P512="高",ISNUMBER($AF512)),INDEX(IDX_SrcDate,$AF512),"—")</f>
        <v>—</v>
      </c>
      <c r="AJ512" s="104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6" t="s">
        <v>4516</v>
      </c>
      <c r="B513" s="215" t="s">
        <v>4244</v>
      </c>
      <c r="C513" s="36" t="s">
        <v>24</v>
      </c>
      <c r="D513" s="36" t="s">
        <v>4517</v>
      </c>
      <c r="E513" s="6" t="s">
        <v>621</v>
      </c>
      <c r="F513" s="36" t="s">
        <v>80</v>
      </c>
      <c r="G513" s="215" t="s">
        <v>3930</v>
      </c>
      <c r="H513" s="36" t="s">
        <v>587</v>
      </c>
      <c r="I513" s="6" t="s">
        <v>587</v>
      </c>
      <c r="J513" s="36" t="s">
        <v>587</v>
      </c>
      <c r="K513" s="215"/>
      <c r="L513" s="215"/>
      <c r="M513" s="36" t="s">
        <v>4509</v>
      </c>
      <c r="N513" s="6" t="s">
        <v>4518</v>
      </c>
      <c r="O513" s="6" t="s">
        <v>587</v>
      </c>
      <c r="P513" s="215" t="s">
        <v>3188</v>
      </c>
      <c r="Q513" s="185" t="s">
        <v>587</v>
      </c>
      <c r="R513" s="36" t="s">
        <v>587</v>
      </c>
      <c r="S513" s="35" t="str">
        <f aca="false">IF(ISNUMBER($AF513),INDEX(IDX_SrcStat,$AF513),"—")</f>
        <v>—</v>
      </c>
      <c r="T513" s="35" t="str">
        <f aca="false">IF(ISNUMBER($AF513),INDEX(IDX_SrcGrade,$AF513),"—")</f>
        <v>—</v>
      </c>
      <c r="U513" s="36" t="s">
        <v>587</v>
      </c>
      <c r="V513" s="186" t="n">
        <f aca="false">IF(AND($F513="原始數據",$U513&lt;&gt;"連結 SRC"),1,0)</f>
        <v>0</v>
      </c>
      <c r="W513" s="186" t="n">
        <f aca="false">IF(AND($F513="Analogy",OR($H513="—",$H513="")),1,0)</f>
        <v>0</v>
      </c>
      <c r="X513" s="186" t="n">
        <f aca="false">IF(AND(OR($F513="Analogy",$F513="Assumed"),$G513&lt;&gt;"低",$G513&lt;&gt;"高",NOT(ISNUMBER($K513)),NOT(ISNUMBER($L513)),OR($M513="—",$M513="")),1,0)</f>
        <v>0</v>
      </c>
      <c r="Y513" s="186" t="n">
        <f aca="false">IF(AND(OR($F513="Analogy",$F513="Assumed",$F513="Derived（待改公式）",$F513="Derived（公式）"),OR($N513="—",$N513="",$N513=0)),1,0)</f>
        <v>0</v>
      </c>
      <c r="Z513" s="186" t="n">
        <f aca="false">IF(AND($F513="Decision",OR($J513="—",$J513="")),1,0)</f>
        <v>0</v>
      </c>
      <c r="AA513" s="183" t="n">
        <f aca="false">IF(OR($J513="—",$J513=""),0,IF(COUNTIF(Decisions!$A$5:$A$300,$J513)=0,1,0))</f>
        <v>0</v>
      </c>
      <c r="AB513" s="186" t="n">
        <f aca="false">IF(AND($F513="原始數據",$S513&lt;&gt;"Active"),1,0)</f>
        <v>0</v>
      </c>
      <c r="AC513" s="186" t="n">
        <f aca="false">IF(AND(ISNUMBER($K513),ISNUMBER($L513),ISNUMBER($Q513)),IF(OR($Q513&lt;MIN($K513,$L513),$Q513&gt;MAX($K513,$L513)),1,0),0)</f>
        <v>0</v>
      </c>
      <c r="AD513" s="186" t="n">
        <f aca="false">IF(AND(ISNUMBER($T513),$P513="高"),IF($T513=3,1,0),0)</f>
        <v>0</v>
      </c>
      <c r="AE513" s="186" t="n">
        <f aca="false">IF($S513="不存在",1,0)</f>
        <v>0</v>
      </c>
      <c r="AF513" s="35" t="str">
        <f aca="false">IF(OR($H513="—",$H513=""),"—",MATCH($H513,IDX_SrcID,0))</f>
        <v>—</v>
      </c>
      <c r="AG513" s="104" t="n">
        <f aca="false">IF(AND($P513="高",OR($AD513=1,$X513=1)),1,0)</f>
        <v>0</v>
      </c>
      <c r="AH513" s="104" t="n">
        <f aca="false">IF(AND($P513="高",$AG513=0,OR($F513&lt;&gt;"原始數據",$T513&lt;&gt;1)),1,0)</f>
        <v>0</v>
      </c>
      <c r="AI513" s="53" t="str">
        <f aca="false">IF(AND($P513="高",ISNUMBER($AF513)),INDEX(IDX_SrcDate,$AF513),"—")</f>
        <v>—</v>
      </c>
      <c r="AJ513" s="104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6" t="s">
        <v>4519</v>
      </c>
      <c r="B514" s="215" t="s">
        <v>4244</v>
      </c>
      <c r="C514" s="36" t="s">
        <v>24</v>
      </c>
      <c r="D514" s="36" t="s">
        <v>4520</v>
      </c>
      <c r="E514" s="6" t="s">
        <v>628</v>
      </c>
      <c r="F514" s="36" t="s">
        <v>80</v>
      </c>
      <c r="G514" s="215" t="s">
        <v>3930</v>
      </c>
      <c r="H514" s="36" t="s">
        <v>587</v>
      </c>
      <c r="I514" s="6" t="s">
        <v>587</v>
      </c>
      <c r="J514" s="36" t="s">
        <v>587</v>
      </c>
      <c r="K514" s="215"/>
      <c r="L514" s="215"/>
      <c r="M514" s="36" t="s">
        <v>4509</v>
      </c>
      <c r="N514" s="6" t="s">
        <v>4521</v>
      </c>
      <c r="O514" s="6" t="s">
        <v>587</v>
      </c>
      <c r="P514" s="215" t="s">
        <v>3188</v>
      </c>
      <c r="Q514" s="185" t="s">
        <v>587</v>
      </c>
      <c r="R514" s="36" t="s">
        <v>587</v>
      </c>
      <c r="S514" s="35" t="str">
        <f aca="false">IF(ISNUMBER($AF514),INDEX(IDX_SrcStat,$AF514),"—")</f>
        <v>—</v>
      </c>
      <c r="T514" s="35" t="str">
        <f aca="false">IF(ISNUMBER($AF514),INDEX(IDX_SrcGrade,$AF514),"—")</f>
        <v>—</v>
      </c>
      <c r="U514" s="36" t="s">
        <v>587</v>
      </c>
      <c r="V514" s="186" t="n">
        <f aca="false">IF(AND($F514="原始數據",$U514&lt;&gt;"連結 SRC"),1,0)</f>
        <v>0</v>
      </c>
      <c r="W514" s="186" t="n">
        <f aca="false">IF(AND($F514="Analogy",OR($H514="—",$H514="")),1,0)</f>
        <v>0</v>
      </c>
      <c r="X514" s="186" t="n">
        <f aca="false">IF(AND(OR($F514="Analogy",$F514="Assumed"),$G514&lt;&gt;"低",$G514&lt;&gt;"高",NOT(ISNUMBER($K514)),NOT(ISNUMBER($L514)),OR($M514="—",$M514="")),1,0)</f>
        <v>0</v>
      </c>
      <c r="Y514" s="186" t="n">
        <f aca="false">IF(AND(OR($F514="Analogy",$F514="Assumed",$F514="Derived（待改公式）",$F514="Derived（公式）"),OR($N514="—",$N514="",$N514=0)),1,0)</f>
        <v>0</v>
      </c>
      <c r="Z514" s="186" t="n">
        <f aca="false">IF(AND($F514="Decision",OR($J514="—",$J514="")),1,0)</f>
        <v>0</v>
      </c>
      <c r="AA514" s="183" t="n">
        <f aca="false">IF(OR($J514="—",$J514=""),0,IF(COUNTIF(Decisions!$A$5:$A$300,$J514)=0,1,0))</f>
        <v>0</v>
      </c>
      <c r="AB514" s="186" t="n">
        <f aca="false">IF(AND($F514="原始數據",$S514&lt;&gt;"Active"),1,0)</f>
        <v>0</v>
      </c>
      <c r="AC514" s="186" t="n">
        <f aca="false">IF(AND(ISNUMBER($K514),ISNUMBER($L514),ISNUMBER($Q514)),IF(OR($Q514&lt;MIN($K514,$L514),$Q514&gt;MAX($K514,$L514)),1,0),0)</f>
        <v>0</v>
      </c>
      <c r="AD514" s="186" t="n">
        <f aca="false">IF(AND(ISNUMBER($T514),$P514="高"),IF($T514=3,1,0),0)</f>
        <v>0</v>
      </c>
      <c r="AE514" s="186" t="n">
        <f aca="false">IF($S514="不存在",1,0)</f>
        <v>0</v>
      </c>
      <c r="AF514" s="35" t="str">
        <f aca="false">IF(OR($H514="—",$H514=""),"—",MATCH($H514,IDX_SrcID,0))</f>
        <v>—</v>
      </c>
      <c r="AG514" s="104" t="n">
        <f aca="false">IF(AND($P514="高",OR($AD514=1,$X514=1)),1,0)</f>
        <v>0</v>
      </c>
      <c r="AH514" s="104" t="n">
        <f aca="false">IF(AND($P514="高",$AG514=0,OR($F514&lt;&gt;"原始數據",$T514&lt;&gt;1)),1,0)</f>
        <v>0</v>
      </c>
      <c r="AI514" s="53" t="str">
        <f aca="false">IF(AND($P514="高",ISNUMBER($AF514)),INDEX(IDX_SrcDate,$AF514),"—")</f>
        <v>—</v>
      </c>
      <c r="AJ514" s="104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6" t="s">
        <v>4522</v>
      </c>
      <c r="B515" s="215" t="s">
        <v>4244</v>
      </c>
      <c r="C515" s="36" t="s">
        <v>24</v>
      </c>
      <c r="D515" s="36" t="s">
        <v>4523</v>
      </c>
      <c r="E515" s="6" t="s">
        <v>634</v>
      </c>
      <c r="F515" s="36" t="s">
        <v>84</v>
      </c>
      <c r="G515" s="215" t="s">
        <v>3930</v>
      </c>
      <c r="H515" s="36" t="s">
        <v>4524</v>
      </c>
      <c r="I515" s="19" t="s">
        <v>4525</v>
      </c>
      <c r="J515" s="36" t="s">
        <v>587</v>
      </c>
      <c r="K515" s="215"/>
      <c r="L515" s="215"/>
      <c r="M515" s="36" t="s">
        <v>4509</v>
      </c>
      <c r="N515" s="6" t="s">
        <v>4526</v>
      </c>
      <c r="O515" s="6" t="s">
        <v>4527</v>
      </c>
      <c r="P515" s="215" t="s">
        <v>3188</v>
      </c>
      <c r="Q515" s="185" t="s">
        <v>587</v>
      </c>
      <c r="R515" s="185" t="n">
        <f aca="false">SRC_MOD_046</f>
        <v>1.5</v>
      </c>
      <c r="S515" s="35" t="str">
        <f aca="false">IF(ISNUMBER($AF515),INDEX(IDX_SrcStat,$AF515),"—")</f>
        <v>Active</v>
      </c>
      <c r="T515" s="35" t="n">
        <f aca="false">IF(ISNUMBER($AF515),INDEX(IDX_SrcGrade,$AF515),"—")</f>
        <v>2</v>
      </c>
      <c r="U515" s="36" t="s">
        <v>587</v>
      </c>
      <c r="V515" s="186" t="n">
        <f aca="false">IF(AND($F515="原始數據",$U515&lt;&gt;"連結 SRC"),1,0)</f>
        <v>0</v>
      </c>
      <c r="W515" s="186" t="n">
        <f aca="false">IF(AND($F515="Analogy",OR($H515="—",$H515="")),1,0)</f>
        <v>0</v>
      </c>
      <c r="X515" s="186" t="n">
        <f aca="false">IF(AND(OR($F515="Analogy",$F515="Assumed"),$G515&lt;&gt;"低",$G515&lt;&gt;"高",NOT(ISNUMBER($K515)),NOT(ISNUMBER($L515)),OR($M515="—",$M515="")),1,0)</f>
        <v>0</v>
      </c>
      <c r="Y515" s="186" t="n">
        <f aca="false">IF(AND(OR($F515="Analogy",$F515="Assumed",$F515="Derived（待改公式）",$F515="Derived（公式）"),OR($N515="—",$N515="",$N515=0)),1,0)</f>
        <v>0</v>
      </c>
      <c r="Z515" s="186" t="n">
        <f aca="false">IF(AND($F515="Decision",OR($J515="—",$J515="")),1,0)</f>
        <v>0</v>
      </c>
      <c r="AA515" s="183" t="n">
        <f aca="false">IF(OR($J515="—",$J515=""),0,IF(COUNTIF(Decisions!$A$5:$A$300,$J515)=0,1,0))</f>
        <v>0</v>
      </c>
      <c r="AB515" s="186" t="n">
        <f aca="false">IF(AND($F515="原始數據",$S515&lt;&gt;"Active"),1,0)</f>
        <v>0</v>
      </c>
      <c r="AC515" s="186" t="n">
        <f aca="false">IF(AND(ISNUMBER($K515),ISNUMBER($L515),ISNUMBER($Q515)),IF(OR($Q515&lt;MIN($K515,$L515),$Q515&gt;MAX($K515,$L515)),1,0),0)</f>
        <v>0</v>
      </c>
      <c r="AD515" s="186" t="n">
        <f aca="false">IF(AND(ISNUMBER($T515),$P515="高"),IF($T515=3,1,0),0)</f>
        <v>0</v>
      </c>
      <c r="AE515" s="186" t="n">
        <f aca="false">IF($S515="不存在",1,0)</f>
        <v>0</v>
      </c>
      <c r="AF515" s="35" t="n">
        <f aca="false">IF(OR($H515="—",$H515=""),"—",MATCH($H515,IDX_SrcID,0))</f>
        <v>223</v>
      </c>
      <c r="AG515" s="104" t="n">
        <f aca="false">IF(AND($P515="高",OR($AD515=1,$X515=1)),1,0)</f>
        <v>0</v>
      </c>
      <c r="AH515" s="104" t="n">
        <f aca="false">IF(AND($P515="高",$AG515=0,OR($F515&lt;&gt;"原始數據",$T515&lt;&gt;1)),1,0)</f>
        <v>0</v>
      </c>
      <c r="AI515" s="53" t="str">
        <f aca="false">IF(AND($P515="高",ISNUMBER($AF515)),INDEX(IDX_SrcDate,$AF515),"—")</f>
        <v>—</v>
      </c>
      <c r="AJ515" s="104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6" t="s">
        <v>4528</v>
      </c>
      <c r="B516" s="215" t="s">
        <v>4244</v>
      </c>
      <c r="C516" s="36" t="s">
        <v>24</v>
      </c>
      <c r="D516" s="36" t="s">
        <v>4529</v>
      </c>
      <c r="E516" s="6" t="s">
        <v>640</v>
      </c>
      <c r="F516" s="36" t="s">
        <v>80</v>
      </c>
      <c r="G516" s="215" t="s">
        <v>3930</v>
      </c>
      <c r="H516" s="36" t="s">
        <v>587</v>
      </c>
      <c r="I516" s="6" t="s">
        <v>587</v>
      </c>
      <c r="J516" s="36" t="s">
        <v>587</v>
      </c>
      <c r="K516" s="215"/>
      <c r="L516" s="215"/>
      <c r="M516" s="36" t="s">
        <v>4509</v>
      </c>
      <c r="N516" s="6" t="s">
        <v>4530</v>
      </c>
      <c r="O516" s="6" t="s">
        <v>587</v>
      </c>
      <c r="P516" s="215" t="s">
        <v>3188</v>
      </c>
      <c r="Q516" s="185" t="s">
        <v>587</v>
      </c>
      <c r="R516" s="36" t="s">
        <v>587</v>
      </c>
      <c r="S516" s="35" t="str">
        <f aca="false">IF(ISNUMBER($AF516),INDEX(IDX_SrcStat,$AF516),"—")</f>
        <v>—</v>
      </c>
      <c r="T516" s="35" t="str">
        <f aca="false">IF(ISNUMBER($AF516),INDEX(IDX_SrcGrade,$AF516),"—")</f>
        <v>—</v>
      </c>
      <c r="U516" s="36" t="s">
        <v>587</v>
      </c>
      <c r="V516" s="186" t="n">
        <f aca="false">IF(AND($F516="原始數據",$U516&lt;&gt;"連結 SRC"),1,0)</f>
        <v>0</v>
      </c>
      <c r="W516" s="186" t="n">
        <f aca="false">IF(AND($F516="Analogy",OR($H516="—",$H516="")),1,0)</f>
        <v>0</v>
      </c>
      <c r="X516" s="186" t="n">
        <f aca="false">IF(AND(OR($F516="Analogy",$F516="Assumed"),$G516&lt;&gt;"低",$G516&lt;&gt;"高",NOT(ISNUMBER($K516)),NOT(ISNUMBER($L516)),OR($M516="—",$M516="")),1,0)</f>
        <v>0</v>
      </c>
      <c r="Y516" s="186" t="n">
        <f aca="false">IF(AND(OR($F516="Analogy",$F516="Assumed",$F516="Derived（待改公式）",$F516="Derived（公式）"),OR($N516="—",$N516="",$N516=0)),1,0)</f>
        <v>0</v>
      </c>
      <c r="Z516" s="186" t="n">
        <f aca="false">IF(AND($F516="Decision",OR($J516="—",$J516="")),1,0)</f>
        <v>0</v>
      </c>
      <c r="AA516" s="183" t="n">
        <f aca="false">IF(OR($J516="—",$J516=""),0,IF(COUNTIF(Decisions!$A$5:$A$300,$J516)=0,1,0))</f>
        <v>0</v>
      </c>
      <c r="AB516" s="186" t="n">
        <f aca="false">IF(AND($F516="原始數據",$S516&lt;&gt;"Active"),1,0)</f>
        <v>0</v>
      </c>
      <c r="AC516" s="186" t="n">
        <f aca="false">IF(AND(ISNUMBER($K516),ISNUMBER($L516),ISNUMBER($Q516)),IF(OR($Q516&lt;MIN($K516,$L516),$Q516&gt;MAX($K516,$L516)),1,0),0)</f>
        <v>0</v>
      </c>
      <c r="AD516" s="186" t="n">
        <f aca="false">IF(AND(ISNUMBER($T516),$P516="高"),IF($T516=3,1,0),0)</f>
        <v>0</v>
      </c>
      <c r="AE516" s="186" t="n">
        <f aca="false">IF($S516="不存在",1,0)</f>
        <v>0</v>
      </c>
      <c r="AF516" s="35" t="str">
        <f aca="false">IF(OR($H516="—",$H516=""),"—",MATCH($H516,IDX_SrcID,0))</f>
        <v>—</v>
      </c>
      <c r="AG516" s="104" t="n">
        <f aca="false">IF(AND($P516="高",OR($AD516=1,$X516=1)),1,0)</f>
        <v>0</v>
      </c>
      <c r="AH516" s="104" t="n">
        <f aca="false">IF(AND($P516="高",$AG516=0,OR($F516&lt;&gt;"原始數據",$T516&lt;&gt;1)),1,0)</f>
        <v>0</v>
      </c>
      <c r="AI516" s="53" t="str">
        <f aca="false">IF(AND($P516="高",ISNUMBER($AF516)),INDEX(IDX_SrcDate,$AF516),"—")</f>
        <v>—</v>
      </c>
      <c r="AJ516" s="104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6" t="s">
        <v>4531</v>
      </c>
      <c r="B517" s="215" t="s">
        <v>4244</v>
      </c>
      <c r="C517" s="36" t="s">
        <v>24</v>
      </c>
      <c r="D517" s="36" t="s">
        <v>4532</v>
      </c>
      <c r="E517" s="6" t="s">
        <v>645</v>
      </c>
      <c r="F517" s="36" t="s">
        <v>80</v>
      </c>
      <c r="G517" s="215" t="s">
        <v>3930</v>
      </c>
      <c r="H517" s="36" t="s">
        <v>587</v>
      </c>
      <c r="I517" s="6" t="s">
        <v>587</v>
      </c>
      <c r="J517" s="36" t="s">
        <v>587</v>
      </c>
      <c r="K517" s="215"/>
      <c r="L517" s="215"/>
      <c r="M517" s="215" t="s">
        <v>3102</v>
      </c>
      <c r="N517" s="6" t="s">
        <v>4533</v>
      </c>
      <c r="O517" s="6" t="s">
        <v>587</v>
      </c>
      <c r="P517" s="215" t="s">
        <v>3188</v>
      </c>
      <c r="Q517" s="185" t="s">
        <v>587</v>
      </c>
      <c r="R517" s="36" t="s">
        <v>587</v>
      </c>
      <c r="S517" s="35" t="str">
        <f aca="false">IF(ISNUMBER($AF517),INDEX(IDX_SrcStat,$AF517),"—")</f>
        <v>—</v>
      </c>
      <c r="T517" s="35" t="str">
        <f aca="false">IF(ISNUMBER($AF517),INDEX(IDX_SrcGrade,$AF517),"—")</f>
        <v>—</v>
      </c>
      <c r="U517" s="36" t="s">
        <v>587</v>
      </c>
      <c r="V517" s="186" t="n">
        <f aca="false">IF(AND($F517="原始數據",$U517&lt;&gt;"連結 SRC"),1,0)</f>
        <v>0</v>
      </c>
      <c r="W517" s="186" t="n">
        <f aca="false">IF(AND($F517="Analogy",OR($H517="—",$H517="")),1,0)</f>
        <v>0</v>
      </c>
      <c r="X517" s="186" t="n">
        <f aca="false">IF(AND(OR($F517="Analogy",$F517="Assumed"),$G517&lt;&gt;"低",$G517&lt;&gt;"高",NOT(ISNUMBER($K517)),NOT(ISNUMBER($L517)),OR($M517="—",$M517="")),1,0)</f>
        <v>0</v>
      </c>
      <c r="Y517" s="186" t="n">
        <f aca="false">IF(AND(OR($F517="Analogy",$F517="Assumed",$F517="Derived（待改公式）",$F517="Derived（公式）"),OR($N517="—",$N517="",$N517=0)),1,0)</f>
        <v>0</v>
      </c>
      <c r="Z517" s="186" t="n">
        <f aca="false">IF(AND($F517="Decision",OR($J517="—",$J517="")),1,0)</f>
        <v>0</v>
      </c>
      <c r="AA517" s="183" t="n">
        <f aca="false">IF(OR($J517="—",$J517=""),0,IF(COUNTIF(Decisions!$A$5:$A$300,$J517)=0,1,0))</f>
        <v>0</v>
      </c>
      <c r="AB517" s="186" t="n">
        <f aca="false">IF(AND($F517="原始數據",$S517&lt;&gt;"Active"),1,0)</f>
        <v>0</v>
      </c>
      <c r="AC517" s="186" t="n">
        <f aca="false">IF(AND(ISNUMBER($K517),ISNUMBER($L517),ISNUMBER($Q517)),IF(OR($Q517&lt;MIN($K517,$L517),$Q517&gt;MAX($K517,$L517)),1,0),0)</f>
        <v>0</v>
      </c>
      <c r="AD517" s="186" t="n">
        <f aca="false">IF(AND(ISNUMBER($T517),$P517="高"),IF($T517=3,1,0),0)</f>
        <v>0</v>
      </c>
      <c r="AE517" s="186" t="n">
        <f aca="false">IF($S517="不存在",1,0)</f>
        <v>0</v>
      </c>
      <c r="AF517" s="35" t="str">
        <f aca="false">IF(OR($H517="—",$H517=""),"—",MATCH($H517,IDX_SrcID,0))</f>
        <v>—</v>
      </c>
      <c r="AG517" s="104" t="n">
        <f aca="false">IF(AND($P517="高",OR($AD517=1,$X517=1)),1,0)</f>
        <v>0</v>
      </c>
      <c r="AH517" s="104" t="n">
        <f aca="false">IF(AND($P517="高",$AG517=0,OR($F517&lt;&gt;"原始數據",$T517&lt;&gt;1)),1,0)</f>
        <v>0</v>
      </c>
      <c r="AI517" s="53" t="str">
        <f aca="false">IF(AND($P517="高",ISNUMBER($AF517)),INDEX(IDX_SrcDate,$AF517),"—")</f>
        <v>—</v>
      </c>
      <c r="AJ517" s="104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6" t="s">
        <v>4534</v>
      </c>
      <c r="B518" s="215" t="s">
        <v>4244</v>
      </c>
      <c r="C518" s="36" t="s">
        <v>24</v>
      </c>
      <c r="D518" s="36" t="s">
        <v>4535</v>
      </c>
      <c r="E518" s="6" t="s">
        <v>585</v>
      </c>
      <c r="F518" s="215" t="s">
        <v>3929</v>
      </c>
      <c r="G518" s="215" t="s">
        <v>3930</v>
      </c>
      <c r="H518" s="36" t="s">
        <v>587</v>
      </c>
      <c r="I518" s="6" t="s">
        <v>587</v>
      </c>
      <c r="J518" s="36" t="s">
        <v>587</v>
      </c>
      <c r="K518" s="215"/>
      <c r="L518" s="215"/>
      <c r="M518" s="36" t="s">
        <v>587</v>
      </c>
      <c r="N518" s="19" t="s">
        <v>4536</v>
      </c>
      <c r="O518" s="6" t="s">
        <v>587</v>
      </c>
      <c r="P518" s="215" t="s">
        <v>3188</v>
      </c>
      <c r="Q518" s="185" t="s">
        <v>587</v>
      </c>
      <c r="R518" s="36" t="s">
        <v>587</v>
      </c>
      <c r="S518" s="35" t="str">
        <f aca="false">IF(ISNUMBER($AF518),INDEX(IDX_SrcStat,$AF518),"—")</f>
        <v>—</v>
      </c>
      <c r="T518" s="35" t="str">
        <f aca="false">IF(ISNUMBER($AF518),INDEX(IDX_SrcGrade,$AF518),"—")</f>
        <v>—</v>
      </c>
      <c r="U518" s="36" t="s">
        <v>587</v>
      </c>
      <c r="V518" s="186" t="n">
        <f aca="false">IF(AND($F518="原始數據",$U518&lt;&gt;"連結 SRC"),1,0)</f>
        <v>0</v>
      </c>
      <c r="W518" s="186" t="n">
        <f aca="false">IF(AND($F518="Analogy",OR($H518="—",$H518="")),1,0)</f>
        <v>0</v>
      </c>
      <c r="X518" s="186" t="n">
        <f aca="false">IF(AND(OR($F518="Analogy",$F518="Assumed"),$G518&lt;&gt;"低",$G518&lt;&gt;"高",NOT(ISNUMBER($K518)),NOT(ISNUMBER($L518)),OR($M518="—",$M518="")),1,0)</f>
        <v>0</v>
      </c>
      <c r="Y518" s="186" t="n">
        <f aca="false">IF(AND(OR($F518="Analogy",$F518="Assumed",$F518="Derived（待改公式）",$F518="Derived（公式）"),OR($N518="—",$N518="",$N518=0)),1,0)</f>
        <v>0</v>
      </c>
      <c r="Z518" s="186" t="n">
        <f aca="false">IF(AND($F518="Decision",OR($J518="—",$J518="")),1,0)</f>
        <v>0</v>
      </c>
      <c r="AA518" s="183" t="n">
        <f aca="false">IF(OR($J518="—",$J518=""),0,IF(COUNTIF(Decisions!$A$5:$A$300,$J518)=0,1,0))</f>
        <v>0</v>
      </c>
      <c r="AB518" s="186" t="n">
        <f aca="false">IF(AND($F518="原始數據",$S518&lt;&gt;"Active"),1,0)</f>
        <v>0</v>
      </c>
      <c r="AC518" s="186" t="n">
        <f aca="false">IF(AND(ISNUMBER($K518),ISNUMBER($L518),ISNUMBER($Q518)),IF(OR($Q518&lt;MIN($K518,$L518),$Q518&gt;MAX($K518,$L518)),1,0),0)</f>
        <v>0</v>
      </c>
      <c r="AD518" s="186" t="n">
        <f aca="false">IF(AND(ISNUMBER($T518),$P518="高"),IF($T518=3,1,0),0)</f>
        <v>0</v>
      </c>
      <c r="AE518" s="186" t="n">
        <f aca="false">IF($S518="不存在",1,0)</f>
        <v>0</v>
      </c>
      <c r="AF518" s="35" t="str">
        <f aca="false">IF(OR($H518="—",$H518=""),"—",MATCH($H518,IDX_SrcID,0))</f>
        <v>—</v>
      </c>
      <c r="AG518" s="104" t="n">
        <f aca="false">IF(AND($P518="高",OR($AD518=1,$X518=1)),1,0)</f>
        <v>0</v>
      </c>
      <c r="AH518" s="104" t="n">
        <f aca="false">IF(AND($P518="高",$AG518=0,OR($F518&lt;&gt;"原始數據",$T518&lt;&gt;1)),1,0)</f>
        <v>0</v>
      </c>
      <c r="AI518" s="53" t="str">
        <f aca="false">IF(AND($P518="高",ISNUMBER($AF518)),INDEX(IDX_SrcDate,$AF518),"—")</f>
        <v>—</v>
      </c>
      <c r="AJ518" s="104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6" t="s">
        <v>4537</v>
      </c>
      <c r="B519" s="215" t="s">
        <v>4244</v>
      </c>
      <c r="C519" s="36" t="s">
        <v>24</v>
      </c>
      <c r="D519" s="36" t="s">
        <v>4538</v>
      </c>
      <c r="E519" s="6" t="s">
        <v>585</v>
      </c>
      <c r="F519" s="215" t="s">
        <v>4356</v>
      </c>
      <c r="G519" s="215" t="s">
        <v>3930</v>
      </c>
      <c r="H519" s="36" t="s">
        <v>587</v>
      </c>
      <c r="I519" s="19" t="s">
        <v>4539</v>
      </c>
      <c r="J519" s="36" t="s">
        <v>4540</v>
      </c>
      <c r="K519" s="215"/>
      <c r="L519" s="215"/>
      <c r="M519" s="215" t="s">
        <v>3102</v>
      </c>
      <c r="N519" s="19" t="s">
        <v>4541</v>
      </c>
      <c r="O519" s="6" t="s">
        <v>587</v>
      </c>
      <c r="P519" s="215" t="s">
        <v>3188</v>
      </c>
      <c r="Q519" s="185" t="s">
        <v>587</v>
      </c>
      <c r="R519" s="36" t="s">
        <v>587</v>
      </c>
      <c r="S519" s="35" t="str">
        <f aca="false">IF(ISNUMBER($AF519),INDEX(IDX_SrcStat,$AF519),"—")</f>
        <v>—</v>
      </c>
      <c r="T519" s="35" t="str">
        <f aca="false">IF(ISNUMBER($AF519),INDEX(IDX_SrcGrade,$AF519),"—")</f>
        <v>—</v>
      </c>
      <c r="U519" s="36" t="s">
        <v>587</v>
      </c>
      <c r="V519" s="186" t="n">
        <f aca="false">IF(AND($F519="原始數據",$U519&lt;&gt;"連結 SRC"),1,0)</f>
        <v>0</v>
      </c>
      <c r="W519" s="186" t="n">
        <f aca="false">IF(AND($F519="Analogy",OR($H519="—",$H519="")),1,0)</f>
        <v>0</v>
      </c>
      <c r="X519" s="186" t="n">
        <f aca="false">IF(AND(OR($F519="Analogy",$F519="Assumed"),$G519&lt;&gt;"低",$G519&lt;&gt;"高",NOT(ISNUMBER($K519)),NOT(ISNUMBER($L519)),OR($M519="—",$M519="")),1,0)</f>
        <v>0</v>
      </c>
      <c r="Y519" s="186" t="n">
        <f aca="false">IF(AND(OR($F519="Analogy",$F519="Assumed",$F519="Derived（待改公式）",$F519="Derived（公式）"),OR($N519="—",$N519="",$N519=0)),1,0)</f>
        <v>0</v>
      </c>
      <c r="Z519" s="186" t="n">
        <f aca="false">IF(AND($F519="Decision",OR($J519="—",$J519="")),1,0)</f>
        <v>0</v>
      </c>
      <c r="AA519" s="183" t="n">
        <f aca="false">IF(OR($J519="—",$J519=""),0,IF(COUNTIF(Decisions!$A$5:$A$300,$J519)=0,1,0))</f>
        <v>0</v>
      </c>
      <c r="AB519" s="186" t="n">
        <f aca="false">IF(AND($F519="原始數據",$S519&lt;&gt;"Active"),1,0)</f>
        <v>0</v>
      </c>
      <c r="AC519" s="186" t="n">
        <f aca="false">IF(AND(ISNUMBER($K519),ISNUMBER($L519),ISNUMBER($Q519)),IF(OR($Q519&lt;MIN($K519,$L519),$Q519&gt;MAX($K519,$L519)),1,0),0)</f>
        <v>0</v>
      </c>
      <c r="AD519" s="186" t="n">
        <f aca="false">IF(AND(ISNUMBER($T519),$P519="高"),IF($T519=3,1,0),0)</f>
        <v>0</v>
      </c>
      <c r="AE519" s="186" t="n">
        <f aca="false">IF($S519="不存在",1,0)</f>
        <v>0</v>
      </c>
      <c r="AF519" s="35" t="str">
        <f aca="false">IF(OR($H519="—",$H519=""),"—",MATCH($H519,IDX_SrcID,0))</f>
        <v>—</v>
      </c>
      <c r="AG519" s="104" t="n">
        <f aca="false">IF(AND($P519="高",OR($AD519=1,$X519=1)),1,0)</f>
        <v>0</v>
      </c>
      <c r="AH519" s="104" t="n">
        <f aca="false">IF(AND($P519="高",$AG519=0,OR($F519&lt;&gt;"原始數據",$T519&lt;&gt;1)),1,0)</f>
        <v>0</v>
      </c>
      <c r="AI519" s="53" t="str">
        <f aca="false">IF(AND($P519="高",ISNUMBER($AF519)),INDEX(IDX_SrcDate,$AF519),"—")</f>
        <v>—</v>
      </c>
      <c r="AJ519" s="104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6" t="s">
        <v>4542</v>
      </c>
      <c r="B520" s="215" t="s">
        <v>4244</v>
      </c>
      <c r="C520" s="36" t="s">
        <v>24</v>
      </c>
      <c r="D520" s="36" t="s">
        <v>4543</v>
      </c>
      <c r="E520" s="6" t="s">
        <v>640</v>
      </c>
      <c r="F520" s="215" t="s">
        <v>4356</v>
      </c>
      <c r="G520" s="215" t="s">
        <v>3930</v>
      </c>
      <c r="H520" s="36" t="s">
        <v>587</v>
      </c>
      <c r="I520" s="19" t="s">
        <v>4539</v>
      </c>
      <c r="J520" s="36" t="s">
        <v>4540</v>
      </c>
      <c r="K520" s="215"/>
      <c r="L520" s="215"/>
      <c r="M520" s="215" t="s">
        <v>3102</v>
      </c>
      <c r="N520" s="19" t="s">
        <v>4544</v>
      </c>
      <c r="O520" s="6" t="s">
        <v>587</v>
      </c>
      <c r="P520" s="215" t="s">
        <v>3188</v>
      </c>
      <c r="Q520" s="185" t="s">
        <v>587</v>
      </c>
      <c r="R520" s="36" t="s">
        <v>587</v>
      </c>
      <c r="S520" s="35" t="str">
        <f aca="false">IF(ISNUMBER($AF520),INDEX(IDX_SrcStat,$AF520),"—")</f>
        <v>—</v>
      </c>
      <c r="T520" s="35" t="str">
        <f aca="false">IF(ISNUMBER($AF520),INDEX(IDX_SrcGrade,$AF520),"—")</f>
        <v>—</v>
      </c>
      <c r="U520" s="36" t="s">
        <v>587</v>
      </c>
      <c r="V520" s="186" t="n">
        <f aca="false">IF(AND($F520="原始數據",$U520&lt;&gt;"連結 SRC"),1,0)</f>
        <v>0</v>
      </c>
      <c r="W520" s="186" t="n">
        <f aca="false">IF(AND($F520="Analogy",OR($H520="—",$H520="")),1,0)</f>
        <v>0</v>
      </c>
      <c r="X520" s="186" t="n">
        <f aca="false">IF(AND(OR($F520="Analogy",$F520="Assumed"),$G520&lt;&gt;"低",$G520&lt;&gt;"高",NOT(ISNUMBER($K520)),NOT(ISNUMBER($L520)),OR($M520="—",$M520="")),1,0)</f>
        <v>0</v>
      </c>
      <c r="Y520" s="186" t="n">
        <f aca="false">IF(AND(OR($F520="Analogy",$F520="Assumed",$F520="Derived（待改公式）",$F520="Derived（公式）"),OR($N520="—",$N520="",$N520=0)),1,0)</f>
        <v>0</v>
      </c>
      <c r="Z520" s="186" t="n">
        <f aca="false">IF(AND($F520="Decision",OR($J520="—",$J520="")),1,0)</f>
        <v>0</v>
      </c>
      <c r="AA520" s="183" t="n">
        <f aca="false">IF(OR($J520="—",$J520=""),0,IF(COUNTIF(Decisions!$A$5:$A$300,$J520)=0,1,0))</f>
        <v>0</v>
      </c>
      <c r="AB520" s="186" t="n">
        <f aca="false">IF(AND($F520="原始數據",$S520&lt;&gt;"Active"),1,0)</f>
        <v>0</v>
      </c>
      <c r="AC520" s="186" t="n">
        <f aca="false">IF(AND(ISNUMBER($K520),ISNUMBER($L520),ISNUMBER($Q520)),IF(OR($Q520&lt;MIN($K520,$L520),$Q520&gt;MAX($K520,$L520)),1,0),0)</f>
        <v>0</v>
      </c>
      <c r="AD520" s="186" t="n">
        <f aca="false">IF(AND(ISNUMBER($T520),$P520="高"),IF($T520=3,1,0),0)</f>
        <v>0</v>
      </c>
      <c r="AE520" s="186" t="n">
        <f aca="false">IF($S520="不存在",1,0)</f>
        <v>0</v>
      </c>
      <c r="AF520" s="35" t="str">
        <f aca="false">IF(OR($H520="—",$H520=""),"—",MATCH($H520,IDX_SrcID,0))</f>
        <v>—</v>
      </c>
      <c r="AG520" s="104" t="n">
        <f aca="false">IF(AND($P520="高",OR($AD520=1,$X520=1)),1,0)</f>
        <v>0</v>
      </c>
      <c r="AH520" s="104" t="n">
        <f aca="false">IF(AND($P520="高",$AG520=0,OR($F520&lt;&gt;"原始數據",$T520&lt;&gt;1)),1,0)</f>
        <v>0</v>
      </c>
      <c r="AI520" s="53" t="str">
        <f aca="false">IF(AND($P520="高",ISNUMBER($AF520)),INDEX(IDX_SrcDate,$AF520),"—")</f>
        <v>—</v>
      </c>
      <c r="AJ520" s="104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6" t="s">
        <v>4545</v>
      </c>
      <c r="B521" s="215" t="s">
        <v>4244</v>
      </c>
      <c r="C521" s="36" t="s">
        <v>24</v>
      </c>
      <c r="D521" s="36" t="s">
        <v>4546</v>
      </c>
      <c r="E521" s="6" t="s">
        <v>585</v>
      </c>
      <c r="F521" s="36" t="s">
        <v>80</v>
      </c>
      <c r="G521" s="215" t="s">
        <v>3930</v>
      </c>
      <c r="H521" s="36" t="s">
        <v>587</v>
      </c>
      <c r="I521" s="6" t="s">
        <v>587</v>
      </c>
      <c r="J521" s="36" t="s">
        <v>587</v>
      </c>
      <c r="K521" s="215"/>
      <c r="L521" s="215"/>
      <c r="M521" s="36" t="s">
        <v>4547</v>
      </c>
      <c r="N521" s="19" t="s">
        <v>4548</v>
      </c>
      <c r="O521" s="6" t="s">
        <v>587</v>
      </c>
      <c r="P521" s="215" t="s">
        <v>3188</v>
      </c>
      <c r="Q521" s="185" t="s">
        <v>587</v>
      </c>
      <c r="R521" s="36" t="s">
        <v>587</v>
      </c>
      <c r="S521" s="35" t="str">
        <f aca="false">IF(ISNUMBER($AF521),INDEX(IDX_SrcStat,$AF521),"—")</f>
        <v>—</v>
      </c>
      <c r="T521" s="35" t="str">
        <f aca="false">IF(ISNUMBER($AF521),INDEX(IDX_SrcGrade,$AF521),"—")</f>
        <v>—</v>
      </c>
      <c r="U521" s="36" t="s">
        <v>587</v>
      </c>
      <c r="V521" s="186" t="n">
        <f aca="false">IF(AND($F521="原始數據",$U521&lt;&gt;"連結 SRC"),1,0)</f>
        <v>0</v>
      </c>
      <c r="W521" s="186" t="n">
        <f aca="false">IF(AND($F521="Analogy",OR($H521="—",$H521="")),1,0)</f>
        <v>0</v>
      </c>
      <c r="X521" s="186" t="n">
        <f aca="false">IF(AND(OR($F521="Analogy",$F521="Assumed"),$G521&lt;&gt;"低",$G521&lt;&gt;"高",NOT(ISNUMBER($K521)),NOT(ISNUMBER($L521)),OR($M521="—",$M521="")),1,0)</f>
        <v>0</v>
      </c>
      <c r="Y521" s="186" t="n">
        <f aca="false">IF(AND(OR($F521="Analogy",$F521="Assumed",$F521="Derived（待改公式）",$F521="Derived（公式）"),OR($N521="—",$N521="",$N521=0)),1,0)</f>
        <v>0</v>
      </c>
      <c r="Z521" s="186" t="n">
        <f aca="false">IF(AND($F521="Decision",OR($J521="—",$J521="")),1,0)</f>
        <v>0</v>
      </c>
      <c r="AA521" s="183" t="n">
        <f aca="false">IF(OR($J521="—",$J521=""),0,IF(COUNTIF(Decisions!$A$5:$A$300,$J521)=0,1,0))</f>
        <v>0</v>
      </c>
      <c r="AB521" s="186" t="n">
        <f aca="false">IF(AND($F521="原始數據",$S521&lt;&gt;"Active"),1,0)</f>
        <v>0</v>
      </c>
      <c r="AC521" s="186" t="n">
        <f aca="false">IF(AND(ISNUMBER($K521),ISNUMBER($L521),ISNUMBER($Q521)),IF(OR($Q521&lt;MIN($K521,$L521),$Q521&gt;MAX($K521,$L521)),1,0),0)</f>
        <v>0</v>
      </c>
      <c r="AD521" s="186" t="n">
        <f aca="false">IF(AND(ISNUMBER($T521),$P521="高"),IF($T521=3,1,0),0)</f>
        <v>0</v>
      </c>
      <c r="AE521" s="186" t="n">
        <f aca="false">IF($S521="不存在",1,0)</f>
        <v>0</v>
      </c>
      <c r="AF521" s="35" t="str">
        <f aca="false">IF(OR($H521="—",$H521=""),"—",MATCH($H521,IDX_SrcID,0))</f>
        <v>—</v>
      </c>
      <c r="AG521" s="104" t="n">
        <f aca="false">IF(AND($P521="高",OR($AD521=1,$X521=1)),1,0)</f>
        <v>0</v>
      </c>
      <c r="AH521" s="104" t="n">
        <f aca="false">IF(AND($P521="高",$AG521=0,OR($F521&lt;&gt;"原始數據",$T521&lt;&gt;1)),1,0)</f>
        <v>0</v>
      </c>
      <c r="AI521" s="53" t="str">
        <f aca="false">IF(AND($P521="高",ISNUMBER($AF521)),INDEX(IDX_SrcDate,$AF521),"—")</f>
        <v>—</v>
      </c>
      <c r="AJ521" s="104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6" t="s">
        <v>4549</v>
      </c>
      <c r="B522" s="215" t="s">
        <v>4244</v>
      </c>
      <c r="C522" s="36" t="s">
        <v>24</v>
      </c>
      <c r="D522" s="36" t="s">
        <v>4550</v>
      </c>
      <c r="E522" s="6" t="s">
        <v>585</v>
      </c>
      <c r="F522" s="36" t="s">
        <v>72</v>
      </c>
      <c r="G522" s="215" t="s">
        <v>3930</v>
      </c>
      <c r="H522" s="36" t="s">
        <v>587</v>
      </c>
      <c r="I522" s="6" t="s">
        <v>587</v>
      </c>
      <c r="J522" s="36" t="s">
        <v>4217</v>
      </c>
      <c r="K522" s="215"/>
      <c r="L522" s="215"/>
      <c r="M522" s="215" t="s">
        <v>3102</v>
      </c>
      <c r="N522" s="19" t="s">
        <v>4551</v>
      </c>
      <c r="O522" s="6" t="s">
        <v>587</v>
      </c>
      <c r="P522" s="215" t="s">
        <v>3188</v>
      </c>
      <c r="Q522" s="185" t="s">
        <v>587</v>
      </c>
      <c r="R522" s="36" t="s">
        <v>587</v>
      </c>
      <c r="S522" s="35" t="str">
        <f aca="false">IF(ISNUMBER($AF522),INDEX(IDX_SrcStat,$AF522),"—")</f>
        <v>—</v>
      </c>
      <c r="T522" s="35" t="str">
        <f aca="false">IF(ISNUMBER($AF522),INDEX(IDX_SrcGrade,$AF522),"—")</f>
        <v>—</v>
      </c>
      <c r="U522" s="36" t="s">
        <v>587</v>
      </c>
      <c r="V522" s="186" t="n">
        <f aca="false">IF(AND($F522="原始數據",$U522&lt;&gt;"連結 SRC"),1,0)</f>
        <v>0</v>
      </c>
      <c r="W522" s="186" t="n">
        <f aca="false">IF(AND($F522="Analogy",OR($H522="—",$H522="")),1,0)</f>
        <v>0</v>
      </c>
      <c r="X522" s="186" t="n">
        <f aca="false">IF(AND(OR($F522="Analogy",$F522="Assumed"),$G522&lt;&gt;"低",$G522&lt;&gt;"高",NOT(ISNUMBER($K522)),NOT(ISNUMBER($L522)),OR($M522="—",$M522="")),1,0)</f>
        <v>0</v>
      </c>
      <c r="Y522" s="186" t="n">
        <f aca="false">IF(AND(OR($F522="Analogy",$F522="Assumed",$F522="Derived（待改公式）",$F522="Derived（公式）"),OR($N522="—",$N522="",$N522=0)),1,0)</f>
        <v>0</v>
      </c>
      <c r="Z522" s="186" t="n">
        <f aca="false">IF(AND($F522="Decision",OR($J522="—",$J522="")),1,0)</f>
        <v>0</v>
      </c>
      <c r="AA522" s="183" t="n">
        <f aca="false">IF(OR($J522="—",$J522=""),0,IF(COUNTIF(Decisions!$A$5:$A$300,$J522)=0,1,0))</f>
        <v>0</v>
      </c>
      <c r="AB522" s="186" t="n">
        <f aca="false">IF(AND($F522="原始數據",$S522&lt;&gt;"Active"),1,0)</f>
        <v>0</v>
      </c>
      <c r="AC522" s="186" t="n">
        <f aca="false">IF(AND(ISNUMBER($K522),ISNUMBER($L522),ISNUMBER($Q522)),IF(OR($Q522&lt;MIN($K522,$L522),$Q522&gt;MAX($K522,$L522)),1,0),0)</f>
        <v>0</v>
      </c>
      <c r="AD522" s="186" t="n">
        <f aca="false">IF(AND(ISNUMBER($T522),$P522="高"),IF($T522=3,1,0),0)</f>
        <v>0</v>
      </c>
      <c r="AE522" s="186" t="n">
        <f aca="false">IF($S522="不存在",1,0)</f>
        <v>0</v>
      </c>
      <c r="AF522" s="35" t="str">
        <f aca="false">IF(OR($H522="—",$H522=""),"—",MATCH($H522,IDX_SrcID,0))</f>
        <v>—</v>
      </c>
      <c r="AG522" s="104" t="n">
        <f aca="false">IF(AND($P522="高",OR($AD522=1,$X522=1)),1,0)</f>
        <v>0</v>
      </c>
      <c r="AH522" s="104" t="n">
        <f aca="false">IF(AND($P522="高",$AG522=0,OR($F522&lt;&gt;"原始數據",$T522&lt;&gt;1)),1,0)</f>
        <v>0</v>
      </c>
      <c r="AI522" s="53" t="str">
        <f aca="false">IF(AND($P522="高",ISNUMBER($AF522)),INDEX(IDX_SrcDate,$AF522),"—")</f>
        <v>—</v>
      </c>
      <c r="AJ522" s="104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6" t="s">
        <v>4552</v>
      </c>
      <c r="B523" s="215" t="s">
        <v>4244</v>
      </c>
      <c r="C523" s="36" t="s">
        <v>4197</v>
      </c>
      <c r="D523" s="36" t="s">
        <v>3342</v>
      </c>
      <c r="E523" s="19" t="s">
        <v>4553</v>
      </c>
      <c r="F523" s="36" t="s">
        <v>84</v>
      </c>
      <c r="G523" s="215" t="s">
        <v>3185</v>
      </c>
      <c r="H523" s="36" t="s">
        <v>4554</v>
      </c>
      <c r="I523" s="19" t="s">
        <v>4555</v>
      </c>
      <c r="J523" s="36" t="s">
        <v>587</v>
      </c>
      <c r="K523" s="217" t="n">
        <v>0.18</v>
      </c>
      <c r="L523" s="217" t="n">
        <v>0.35</v>
      </c>
      <c r="M523" s="36" t="s">
        <v>4556</v>
      </c>
      <c r="N523" s="19" t="s">
        <v>4557</v>
      </c>
      <c r="O523" s="6" t="s">
        <v>587</v>
      </c>
      <c r="P523" s="215" t="s">
        <v>1116</v>
      </c>
      <c r="Q523" s="177" t="n">
        <f aca="false">Train_In!C6</f>
        <v>0.25</v>
      </c>
      <c r="R523" s="185" t="n">
        <f aca="false">SRC_PERF_036_Lo</f>
        <v>0.38</v>
      </c>
      <c r="S523" s="35" t="str">
        <f aca="false">IF(ISNUMBER($AF523),INDEX(IDX_SrcStat,$AF523),"—")</f>
        <v>Active</v>
      </c>
      <c r="T523" s="35" t="n">
        <f aca="false">IF(ISNUMBER($AF523),INDEX(IDX_SrcGrade,$AF523),"—")</f>
        <v>1</v>
      </c>
      <c r="U523" s="35" t="s">
        <v>3189</v>
      </c>
      <c r="V523" s="186" t="n">
        <f aca="false">IF(AND($F523="原始數據",$U523&lt;&gt;"連結 SRC"),1,0)</f>
        <v>0</v>
      </c>
      <c r="W523" s="186" t="n">
        <f aca="false">IF(AND($F523="Analogy",OR($H523="—",$H523="")),1,0)</f>
        <v>0</v>
      </c>
      <c r="X523" s="186" t="n">
        <f aca="false">IF(AND(OR($F523="Analogy",$F523="Assumed"),$G523&lt;&gt;"低",$G523&lt;&gt;"高",NOT(ISNUMBER($K523)),NOT(ISNUMBER($L523)),OR($M523="—",$M523="")),1,0)</f>
        <v>0</v>
      </c>
      <c r="Y523" s="186" t="n">
        <f aca="false">IF(AND(OR($F523="Analogy",$F523="Assumed",$F523="Derived（待改公式）",$F523="Derived（公式）"),OR($N523="—",$N523="",$N523=0)),1,0)</f>
        <v>0</v>
      </c>
      <c r="Z523" s="186" t="n">
        <f aca="false">IF(AND($F523="Decision",OR($J523="—",$J523="")),1,0)</f>
        <v>0</v>
      </c>
      <c r="AA523" s="183" t="n">
        <f aca="false">IF(OR($J523="—",$J523=""),0,IF(COUNTIF(Decisions!$A$5:$A$300,$J523)=0,1,0))</f>
        <v>0</v>
      </c>
      <c r="AB523" s="186" t="n">
        <f aca="false">IF(AND($F523="原始數據",$S523&lt;&gt;"Active"),1,0)</f>
        <v>0</v>
      </c>
      <c r="AC523" s="186" t="n">
        <f aca="false">IF(AND(ISNUMBER($K523),ISNUMBER($L523),ISNUMBER($Q523)),IF(OR($Q523&lt;MIN($K523,$L523),$Q523&gt;MAX($K523,$L523)),1,0),0)</f>
        <v>0</v>
      </c>
      <c r="AD523" s="186" t="n">
        <f aca="false">IF(AND(ISNUMBER($T523),$P523="高"),IF($T523=3,1,0),0)</f>
        <v>0</v>
      </c>
      <c r="AE523" s="186" t="n">
        <f aca="false">IF($S523="不存在",1,0)</f>
        <v>0</v>
      </c>
      <c r="AF523" s="35" t="n">
        <f aca="false">IF(OR($H523="—",$H523=""),"—",MATCH($H523,IDX_SrcID,0))</f>
        <v>324</v>
      </c>
      <c r="AG523" s="104" t="n">
        <f aca="false">IF(AND($P523="高",OR($AD523=1,$X523=1)),1,0)</f>
        <v>0</v>
      </c>
      <c r="AH523" s="104" t="n">
        <f aca="false">IF(AND($P523="高",$AG523=0,OR($F523&lt;&gt;"原始數據",$T523&lt;&gt;1)),1,0)</f>
        <v>1</v>
      </c>
      <c r="AI523" s="53" t="str">
        <f aca="false">IF(AND($P523="高",ISNUMBER($AF523)),INDEX(IDX_SrcDate,$AF523),"—")</f>
        <v>2026-10-05</v>
      </c>
      <c r="AJ523" s="104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6" t="s">
        <v>4558</v>
      </c>
      <c r="B524" s="215" t="s">
        <v>4244</v>
      </c>
      <c r="C524" s="36" t="s">
        <v>4197</v>
      </c>
      <c r="D524" s="36" t="s">
        <v>3666</v>
      </c>
      <c r="E524" s="6" t="s">
        <v>891</v>
      </c>
      <c r="F524" s="36" t="s">
        <v>84</v>
      </c>
      <c r="G524" s="215" t="s">
        <v>3185</v>
      </c>
      <c r="H524" s="36" t="s">
        <v>4559</v>
      </c>
      <c r="I524" s="19" t="s">
        <v>4560</v>
      </c>
      <c r="J524" s="36" t="s">
        <v>587</v>
      </c>
      <c r="K524" s="217" t="n">
        <v>0.8</v>
      </c>
      <c r="L524" s="217" t="n">
        <v>0.95</v>
      </c>
      <c r="M524" s="36" t="s">
        <v>4561</v>
      </c>
      <c r="N524" s="6" t="s">
        <v>4562</v>
      </c>
      <c r="O524" s="6" t="s">
        <v>587</v>
      </c>
      <c r="P524" s="215" t="s">
        <v>1116</v>
      </c>
      <c r="Q524" s="177" t="n">
        <f aca="false">Train_In!C7</f>
        <v>0.9</v>
      </c>
      <c r="R524" s="185" t="n">
        <f aca="false">SRC_PERF_037</f>
        <v>0.9</v>
      </c>
      <c r="S524" s="35" t="str">
        <f aca="false">IF(ISNUMBER($AF524),INDEX(IDX_SrcStat,$AF524),"—")</f>
        <v>Active</v>
      </c>
      <c r="T524" s="35" t="n">
        <f aca="false">IF(ISNUMBER($AF524),INDEX(IDX_SrcGrade,$AF524),"—")</f>
        <v>1</v>
      </c>
      <c r="U524" s="35" t="s">
        <v>3189</v>
      </c>
      <c r="V524" s="186" t="n">
        <f aca="false">IF(AND($F524="原始數據",$U524&lt;&gt;"連結 SRC"),1,0)</f>
        <v>0</v>
      </c>
      <c r="W524" s="186" t="n">
        <f aca="false">IF(AND($F524="Analogy",OR($H524="—",$H524="")),1,0)</f>
        <v>0</v>
      </c>
      <c r="X524" s="186" t="n">
        <f aca="false">IF(AND(OR($F524="Analogy",$F524="Assumed"),$G524&lt;&gt;"低",$G524&lt;&gt;"高",NOT(ISNUMBER($K524)),NOT(ISNUMBER($L524)),OR($M524="—",$M524="")),1,0)</f>
        <v>0</v>
      </c>
      <c r="Y524" s="186" t="n">
        <f aca="false">IF(AND(OR($F524="Analogy",$F524="Assumed",$F524="Derived（待改公式）",$F524="Derived（公式）"),OR($N524="—",$N524="",$N524=0)),1,0)</f>
        <v>0</v>
      </c>
      <c r="Z524" s="186" t="n">
        <f aca="false">IF(AND($F524="Decision",OR($J524="—",$J524="")),1,0)</f>
        <v>0</v>
      </c>
      <c r="AA524" s="183" t="n">
        <f aca="false">IF(OR($J524="—",$J524=""),0,IF(COUNTIF(Decisions!$A$5:$A$300,$J524)=0,1,0))</f>
        <v>0</v>
      </c>
      <c r="AB524" s="186" t="n">
        <f aca="false">IF(AND($F524="原始數據",$S524&lt;&gt;"Active"),1,0)</f>
        <v>0</v>
      </c>
      <c r="AC524" s="186" t="n">
        <f aca="false">IF(AND(ISNUMBER($K524),ISNUMBER($L524),ISNUMBER($Q524)),IF(OR($Q524&lt;MIN($K524,$L524),$Q524&gt;MAX($K524,$L524)),1,0),0)</f>
        <v>0</v>
      </c>
      <c r="AD524" s="186" t="n">
        <f aca="false">IF(AND(ISNUMBER($T524),$P524="高"),IF($T524=3,1,0),0)</f>
        <v>0</v>
      </c>
      <c r="AE524" s="186" t="n">
        <f aca="false">IF($S524="不存在",1,0)</f>
        <v>0</v>
      </c>
      <c r="AF524" s="35" t="n">
        <f aca="false">IF(OR($H524="—",$H524=""),"—",MATCH($H524,IDX_SrcID,0))</f>
        <v>325</v>
      </c>
      <c r="AG524" s="104" t="n">
        <f aca="false">IF(AND($P524="高",OR($AD524=1,$X524=1)),1,0)</f>
        <v>0</v>
      </c>
      <c r="AH524" s="104" t="n">
        <f aca="false">IF(AND($P524="高",$AG524=0,OR($F524&lt;&gt;"原始數據",$T524&lt;&gt;1)),1,0)</f>
        <v>1</v>
      </c>
      <c r="AI524" s="53" t="str">
        <f aca="false">IF(AND($P524="高",ISNUMBER($AF524)),INDEX(IDX_SrcDate,$AF524),"—")</f>
        <v>2026-10-05</v>
      </c>
      <c r="AJ524" s="104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6" t="s">
        <v>4563</v>
      </c>
      <c r="B525" s="215" t="s">
        <v>4244</v>
      </c>
      <c r="C525" s="36" t="s">
        <v>4197</v>
      </c>
      <c r="D525" s="36" t="s">
        <v>3355</v>
      </c>
      <c r="E525" s="6" t="s">
        <v>893</v>
      </c>
      <c r="F525" s="36" t="s">
        <v>80</v>
      </c>
      <c r="G525" s="215" t="s">
        <v>3185</v>
      </c>
      <c r="H525" s="36" t="s">
        <v>587</v>
      </c>
      <c r="I525" s="6" t="s">
        <v>587</v>
      </c>
      <c r="J525" s="36" t="s">
        <v>587</v>
      </c>
      <c r="K525" s="217" t="n">
        <v>0.6</v>
      </c>
      <c r="L525" s="217" t="n">
        <v>1</v>
      </c>
      <c r="M525" s="36" t="s">
        <v>4564</v>
      </c>
      <c r="N525" s="6" t="s">
        <v>4565</v>
      </c>
      <c r="O525" s="6" t="s">
        <v>587</v>
      </c>
      <c r="P525" s="215" t="s">
        <v>1115</v>
      </c>
      <c r="Q525" s="175" t="n">
        <f aca="false">Train_In!C8</f>
        <v>0.8</v>
      </c>
      <c r="R525" s="36" t="s">
        <v>587</v>
      </c>
      <c r="S525" s="35" t="str">
        <f aca="false">IF(ISNUMBER($AF525),INDEX(IDX_SrcStat,$AF525),"—")</f>
        <v>—</v>
      </c>
      <c r="T525" s="35" t="str">
        <f aca="false">IF(ISNUMBER($AF525),INDEX(IDX_SrcGrade,$AF525),"—")</f>
        <v>—</v>
      </c>
      <c r="U525" s="35" t="s">
        <v>3189</v>
      </c>
      <c r="V525" s="186" t="n">
        <f aca="false">IF(AND($F525="原始數據",$U525&lt;&gt;"連結 SRC"),1,0)</f>
        <v>0</v>
      </c>
      <c r="W525" s="186" t="n">
        <f aca="false">IF(AND($F525="Analogy",OR($H525="—",$H525="")),1,0)</f>
        <v>0</v>
      </c>
      <c r="X525" s="186" t="n">
        <f aca="false">IF(AND(OR($F525="Analogy",$F525="Assumed"),$G525&lt;&gt;"低",$G525&lt;&gt;"高",NOT(ISNUMBER($K525)),NOT(ISNUMBER($L525)),OR($M525="—",$M525="")),1,0)</f>
        <v>0</v>
      </c>
      <c r="Y525" s="186" t="n">
        <f aca="false">IF(AND(OR($F525="Analogy",$F525="Assumed",$F525="Derived（待改公式）",$F525="Derived（公式）"),OR($N525="—",$N525="",$N525=0)),1,0)</f>
        <v>0</v>
      </c>
      <c r="Z525" s="186" t="n">
        <f aca="false">IF(AND($F525="Decision",OR($J525="—",$J525="")),1,0)</f>
        <v>0</v>
      </c>
      <c r="AA525" s="183" t="n">
        <f aca="false">IF(OR($J525="—",$J525=""),0,IF(COUNTIF(Decisions!$A$5:$A$300,$J525)=0,1,0))</f>
        <v>0</v>
      </c>
      <c r="AB525" s="186" t="n">
        <f aca="false">IF(AND($F525="原始數據",$S525&lt;&gt;"Active"),1,0)</f>
        <v>0</v>
      </c>
      <c r="AC525" s="186" t="n">
        <f aca="false">IF(AND(ISNUMBER($K525),ISNUMBER($L525),ISNUMBER($Q525)),IF(OR($Q525&lt;MIN($K525,$L525),$Q525&gt;MAX($K525,$L525)),1,0),0)</f>
        <v>0</v>
      </c>
      <c r="AD525" s="186" t="n">
        <f aca="false">IF(AND(ISNUMBER($T525),$P525="高"),IF($T525=3,1,0),0)</f>
        <v>0</v>
      </c>
      <c r="AE525" s="186" t="n">
        <f aca="false">IF($S525="不存在",1,0)</f>
        <v>0</v>
      </c>
      <c r="AF525" s="35" t="str">
        <f aca="false">IF(OR($H525="—",$H525=""),"—",MATCH($H525,IDX_SrcID,0))</f>
        <v>—</v>
      </c>
      <c r="AG525" s="104" t="n">
        <f aca="false">IF(AND($P525="高",OR($AD525=1,$X525=1)),1,0)</f>
        <v>0</v>
      </c>
      <c r="AH525" s="104" t="n">
        <f aca="false">IF(AND($P525="高",$AG525=0,OR($F525&lt;&gt;"原始數據",$T525&lt;&gt;1)),1,0)</f>
        <v>0</v>
      </c>
      <c r="AI525" s="53" t="str">
        <f aca="false">IF(AND($P525="高",ISNUMBER($AF525)),INDEX(IDX_SrcDate,$AF525),"—")</f>
        <v>—</v>
      </c>
      <c r="AJ525" s="104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6" t="s">
        <v>4566</v>
      </c>
      <c r="B526" s="215" t="s">
        <v>4244</v>
      </c>
      <c r="C526" s="36" t="s">
        <v>4197</v>
      </c>
      <c r="D526" s="36" t="s">
        <v>3369</v>
      </c>
      <c r="E526" s="6" t="s">
        <v>895</v>
      </c>
      <c r="F526" s="36" t="s">
        <v>80</v>
      </c>
      <c r="G526" s="215" t="s">
        <v>3185</v>
      </c>
      <c r="H526" s="36" t="s">
        <v>587</v>
      </c>
      <c r="I526" s="6" t="s">
        <v>587</v>
      </c>
      <c r="J526" s="36" t="s">
        <v>587</v>
      </c>
      <c r="K526" s="217" t="n">
        <v>0.4</v>
      </c>
      <c r="L526" s="217" t="n">
        <v>0.9</v>
      </c>
      <c r="M526" s="36" t="s">
        <v>4567</v>
      </c>
      <c r="N526" s="6" t="s">
        <v>4568</v>
      </c>
      <c r="O526" s="6" t="s">
        <v>587</v>
      </c>
      <c r="P526" s="215" t="s">
        <v>3244</v>
      </c>
      <c r="Q526" s="175" t="n">
        <f aca="false">Train_In!C9</f>
        <v>0.6</v>
      </c>
      <c r="R526" s="36" t="s">
        <v>587</v>
      </c>
      <c r="S526" s="35" t="str">
        <f aca="false">IF(ISNUMBER($AF526),INDEX(IDX_SrcStat,$AF526),"—")</f>
        <v>—</v>
      </c>
      <c r="T526" s="35" t="str">
        <f aca="false">IF(ISNUMBER($AF526),INDEX(IDX_SrcGrade,$AF526),"—")</f>
        <v>—</v>
      </c>
      <c r="U526" s="35" t="s">
        <v>3189</v>
      </c>
      <c r="V526" s="186" t="n">
        <f aca="false">IF(AND($F526="原始數據",$U526&lt;&gt;"連結 SRC"),1,0)</f>
        <v>0</v>
      </c>
      <c r="W526" s="186" t="n">
        <f aca="false">IF(AND($F526="Analogy",OR($H526="—",$H526="")),1,0)</f>
        <v>0</v>
      </c>
      <c r="X526" s="186" t="n">
        <f aca="false">IF(AND(OR($F526="Analogy",$F526="Assumed"),$G526&lt;&gt;"低",$G526&lt;&gt;"高",NOT(ISNUMBER($K526)),NOT(ISNUMBER($L526)),OR($M526="—",$M526="")),1,0)</f>
        <v>0</v>
      </c>
      <c r="Y526" s="186" t="n">
        <f aca="false">IF(AND(OR($F526="Analogy",$F526="Assumed",$F526="Derived（待改公式）",$F526="Derived（公式）"),OR($N526="—",$N526="",$N526=0)),1,0)</f>
        <v>0</v>
      </c>
      <c r="Z526" s="186" t="n">
        <f aca="false">IF(AND($F526="Decision",OR($J526="—",$J526="")),1,0)</f>
        <v>0</v>
      </c>
      <c r="AA526" s="183" t="n">
        <f aca="false">IF(OR($J526="—",$J526=""),0,IF(COUNTIF(Decisions!$A$5:$A$300,$J526)=0,1,0))</f>
        <v>0</v>
      </c>
      <c r="AB526" s="186" t="n">
        <f aca="false">IF(AND($F526="原始數據",$S526&lt;&gt;"Active"),1,0)</f>
        <v>0</v>
      </c>
      <c r="AC526" s="186" t="n">
        <f aca="false">IF(AND(ISNUMBER($K526),ISNUMBER($L526),ISNUMBER($Q526)),IF(OR($Q526&lt;MIN($K526,$L526),$Q526&gt;MAX($K526,$L526)),1,0),0)</f>
        <v>0</v>
      </c>
      <c r="AD526" s="186" t="n">
        <f aca="false">IF(AND(ISNUMBER($T526),$P526="高"),IF($T526=3,1,0),0)</f>
        <v>0</v>
      </c>
      <c r="AE526" s="186" t="n">
        <f aca="false">IF($S526="不存在",1,0)</f>
        <v>0</v>
      </c>
      <c r="AF526" s="35" t="str">
        <f aca="false">IF(OR($H526="—",$H526=""),"—",MATCH($H526,IDX_SrcID,0))</f>
        <v>—</v>
      </c>
      <c r="AG526" s="104" t="n">
        <f aca="false">IF(AND($P526="高",OR($AD526=1,$X526=1)),1,0)</f>
        <v>0</v>
      </c>
      <c r="AH526" s="104" t="n">
        <f aca="false">IF(AND($P526="高",$AG526=0,OR($F526&lt;&gt;"原始數據",$T526&lt;&gt;1)),1,0)</f>
        <v>0</v>
      </c>
      <c r="AI526" s="53" t="str">
        <f aca="false">IF(AND($P526="高",ISNUMBER($AF526)),INDEX(IDX_SrcDate,$AF526),"—")</f>
        <v>—</v>
      </c>
      <c r="AJ526" s="104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6" t="s">
        <v>4569</v>
      </c>
      <c r="B527" s="215" t="s">
        <v>4244</v>
      </c>
      <c r="C527" s="36" t="s">
        <v>4197</v>
      </c>
      <c r="D527" s="36" t="s">
        <v>3389</v>
      </c>
      <c r="E527" s="19" t="s">
        <v>4570</v>
      </c>
      <c r="F527" s="36" t="s">
        <v>80</v>
      </c>
      <c r="G527" s="215" t="s">
        <v>3185</v>
      </c>
      <c r="H527" s="36" t="s">
        <v>587</v>
      </c>
      <c r="I527" s="6" t="s">
        <v>587</v>
      </c>
      <c r="J527" s="36" t="s">
        <v>587</v>
      </c>
      <c r="K527" s="217" t="n">
        <v>0</v>
      </c>
      <c r="L527" s="217" t="n">
        <v>1</v>
      </c>
      <c r="M527" s="36" t="s">
        <v>4571</v>
      </c>
      <c r="N527" s="6" t="s">
        <v>4572</v>
      </c>
      <c r="O527" s="6" t="s">
        <v>587</v>
      </c>
      <c r="P527" s="215" t="s">
        <v>3188</v>
      </c>
      <c r="Q527" s="183" t="n">
        <f aca="false">Train_In!C10</f>
        <v>0</v>
      </c>
      <c r="R527" s="36" t="s">
        <v>587</v>
      </c>
      <c r="S527" s="35" t="str">
        <f aca="false">IF(ISNUMBER($AF527),INDEX(IDX_SrcStat,$AF527),"—")</f>
        <v>—</v>
      </c>
      <c r="T527" s="35" t="str">
        <f aca="false">IF(ISNUMBER($AF527),INDEX(IDX_SrcGrade,$AF527),"—")</f>
        <v>—</v>
      </c>
      <c r="U527" s="35" t="s">
        <v>3189</v>
      </c>
      <c r="V527" s="186" t="n">
        <f aca="false">IF(AND($F527="原始數據",$U527&lt;&gt;"連結 SRC"),1,0)</f>
        <v>0</v>
      </c>
      <c r="W527" s="186" t="n">
        <f aca="false">IF(AND($F527="Analogy",OR($H527="—",$H527="")),1,0)</f>
        <v>0</v>
      </c>
      <c r="X527" s="186" t="n">
        <f aca="false">IF(AND(OR($F527="Analogy",$F527="Assumed"),$G527&lt;&gt;"低",$G527&lt;&gt;"高",NOT(ISNUMBER($K527)),NOT(ISNUMBER($L527)),OR($M527="—",$M527="")),1,0)</f>
        <v>0</v>
      </c>
      <c r="Y527" s="186" t="n">
        <f aca="false">IF(AND(OR($F527="Analogy",$F527="Assumed",$F527="Derived（待改公式）",$F527="Derived（公式）"),OR($N527="—",$N527="",$N527=0)),1,0)</f>
        <v>0</v>
      </c>
      <c r="Z527" s="186" t="n">
        <f aca="false">IF(AND($F527="Decision",OR($J527="—",$J527="")),1,0)</f>
        <v>0</v>
      </c>
      <c r="AA527" s="183" t="n">
        <f aca="false">IF(OR($J527="—",$J527=""),0,IF(COUNTIF(Decisions!$A$5:$A$300,$J527)=0,1,0))</f>
        <v>0</v>
      </c>
      <c r="AB527" s="186" t="n">
        <f aca="false">IF(AND($F527="原始數據",$S527&lt;&gt;"Active"),1,0)</f>
        <v>0</v>
      </c>
      <c r="AC527" s="186" t="n">
        <f aca="false">IF(AND(ISNUMBER($K527),ISNUMBER($L527),ISNUMBER($Q527)),IF(OR($Q527&lt;MIN($K527,$L527),$Q527&gt;MAX($K527,$L527)),1,0),0)</f>
        <v>0</v>
      </c>
      <c r="AD527" s="186" t="n">
        <f aca="false">IF(AND(ISNUMBER($T527),$P527="高"),IF($T527=3,1,0),0)</f>
        <v>0</v>
      </c>
      <c r="AE527" s="186" t="n">
        <f aca="false">IF($S527="不存在",1,0)</f>
        <v>0</v>
      </c>
      <c r="AF527" s="35" t="str">
        <f aca="false">IF(OR($H527="—",$H527=""),"—",MATCH($H527,IDX_SrcID,0))</f>
        <v>—</v>
      </c>
      <c r="AG527" s="104" t="n">
        <f aca="false">IF(AND($P527="高",OR($AD527=1,$X527=1)),1,0)</f>
        <v>0</v>
      </c>
      <c r="AH527" s="104" t="n">
        <f aca="false">IF(AND($P527="高",$AG527=0,OR($F527&lt;&gt;"原始數據",$T527&lt;&gt;1)),1,0)</f>
        <v>0</v>
      </c>
      <c r="AI527" s="53" t="str">
        <f aca="false">IF(AND($P527="高",ISNUMBER($AF527)),INDEX(IDX_SrcDate,$AF527),"—")</f>
        <v>—</v>
      </c>
      <c r="AJ527" s="104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6" t="s">
        <v>4573</v>
      </c>
      <c r="B528" s="215" t="s">
        <v>4244</v>
      </c>
      <c r="C528" s="36" t="s">
        <v>4197</v>
      </c>
      <c r="D528" s="36" t="s">
        <v>3400</v>
      </c>
      <c r="E528" s="6" t="s">
        <v>899</v>
      </c>
      <c r="F528" s="36" t="s">
        <v>84</v>
      </c>
      <c r="G528" s="215" t="s">
        <v>3185</v>
      </c>
      <c r="H528" s="36" t="s">
        <v>4524</v>
      </c>
      <c r="I528" s="19" t="s">
        <v>4574</v>
      </c>
      <c r="J528" s="36" t="s">
        <v>587</v>
      </c>
      <c r="K528" s="177" t="n">
        <f aca="false">Sens_Train!S64</f>
        <v>0.6</v>
      </c>
      <c r="L528" s="177" t="n">
        <f aca="false">Sens_Train!U64</f>
        <v>0.95</v>
      </c>
      <c r="M528" s="36" t="s">
        <v>587</v>
      </c>
      <c r="N528" s="6" t="s">
        <v>4575</v>
      </c>
      <c r="O528" s="6" t="s">
        <v>587</v>
      </c>
      <c r="P528" s="215" t="s">
        <v>3244</v>
      </c>
      <c r="Q528" s="177" t="n">
        <f aca="false">Train_In!C11</f>
        <v>0.85</v>
      </c>
      <c r="R528" s="185" t="n">
        <f aca="false">SRC_MOD_046</f>
        <v>1.5</v>
      </c>
      <c r="S528" s="35" t="str">
        <f aca="false">IF(ISNUMBER($AF528),INDEX(IDX_SrcStat,$AF528),"—")</f>
        <v>Active</v>
      </c>
      <c r="T528" s="35" t="n">
        <f aca="false">IF(ISNUMBER($AF528),INDEX(IDX_SrcGrade,$AF528),"—")</f>
        <v>2</v>
      </c>
      <c r="U528" s="35" t="s">
        <v>3189</v>
      </c>
      <c r="V528" s="186" t="n">
        <f aca="false">IF(AND($F528="原始數據",$U528&lt;&gt;"連結 SRC"),1,0)</f>
        <v>0</v>
      </c>
      <c r="W528" s="186" t="n">
        <f aca="false">IF(AND($F528="Analogy",OR($H528="—",$H528="")),1,0)</f>
        <v>0</v>
      </c>
      <c r="X528" s="186" t="n">
        <f aca="false">IF(AND(OR($F528="Analogy",$F528="Assumed"),$G528&lt;&gt;"低",$G528&lt;&gt;"高",NOT(ISNUMBER($K528)),NOT(ISNUMBER($L528)),OR($M528="—",$M528="")),1,0)</f>
        <v>0</v>
      </c>
      <c r="Y528" s="186" t="n">
        <f aca="false">IF(AND(OR($F528="Analogy",$F528="Assumed",$F528="Derived（待改公式）",$F528="Derived（公式）"),OR($N528="—",$N528="",$N528=0)),1,0)</f>
        <v>0</v>
      </c>
      <c r="Z528" s="186" t="n">
        <f aca="false">IF(AND($F528="Decision",OR($J528="—",$J528="")),1,0)</f>
        <v>0</v>
      </c>
      <c r="AA528" s="183" t="n">
        <f aca="false">IF(OR($J528="—",$J528=""),0,IF(COUNTIF(Decisions!$A$5:$A$300,$J528)=0,1,0))</f>
        <v>0</v>
      </c>
      <c r="AB528" s="186" t="n">
        <f aca="false">IF(AND($F528="原始數據",$S528&lt;&gt;"Active"),1,0)</f>
        <v>0</v>
      </c>
      <c r="AC528" s="186" t="n">
        <f aca="false">IF(AND(ISNUMBER($K528),ISNUMBER($L528),ISNUMBER($Q528)),IF(OR($Q528&lt;MIN($K528,$L528),$Q528&gt;MAX($K528,$L528)),1,0),0)</f>
        <v>0</v>
      </c>
      <c r="AD528" s="186" t="n">
        <f aca="false">IF(AND(ISNUMBER($T528),$P528="高"),IF($T528=3,1,0),0)</f>
        <v>0</v>
      </c>
      <c r="AE528" s="186" t="n">
        <f aca="false">IF($S528="不存在",1,0)</f>
        <v>0</v>
      </c>
      <c r="AF528" s="35" t="n">
        <f aca="false">IF(OR($H528="—",$H528=""),"—",MATCH($H528,IDX_SrcID,0))</f>
        <v>223</v>
      </c>
      <c r="AG528" s="104" t="n">
        <f aca="false">IF(AND($P528="高",OR($AD528=1,$X528=1)),1,0)</f>
        <v>0</v>
      </c>
      <c r="AH528" s="104" t="n">
        <f aca="false">IF(AND($P528="高",$AG528=0,OR($F528&lt;&gt;"原始數據",$T528&lt;&gt;1)),1,0)</f>
        <v>0</v>
      </c>
      <c r="AI528" s="53" t="str">
        <f aca="false">IF(AND($P528="高",ISNUMBER($AF528)),INDEX(IDX_SrcDate,$AF528),"—")</f>
        <v>—</v>
      </c>
      <c r="AJ528" s="104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6" t="s">
        <v>4576</v>
      </c>
      <c r="B529" s="215" t="s">
        <v>4244</v>
      </c>
      <c r="C529" s="36" t="s">
        <v>4197</v>
      </c>
      <c r="D529" s="36" t="s">
        <v>3420</v>
      </c>
      <c r="E529" s="6" t="s">
        <v>901</v>
      </c>
      <c r="F529" s="36" t="s">
        <v>80</v>
      </c>
      <c r="G529" s="215" t="s">
        <v>3185</v>
      </c>
      <c r="H529" s="36" t="s">
        <v>587</v>
      </c>
      <c r="I529" s="6" t="s">
        <v>587</v>
      </c>
      <c r="J529" s="36" t="s">
        <v>587</v>
      </c>
      <c r="K529" s="217" t="n">
        <v>8</v>
      </c>
      <c r="L529" s="217" t="n">
        <v>64</v>
      </c>
      <c r="M529" s="36" t="s">
        <v>4577</v>
      </c>
      <c r="N529" s="6" t="s">
        <v>4578</v>
      </c>
      <c r="O529" s="6" t="s">
        <v>4322</v>
      </c>
      <c r="P529" s="215" t="s">
        <v>1115</v>
      </c>
      <c r="Q529" s="183" t="n">
        <f aca="false">Train_In!C12</f>
        <v>16</v>
      </c>
      <c r="R529" s="36" t="s">
        <v>587</v>
      </c>
      <c r="S529" s="35" t="str">
        <f aca="false">IF(ISNUMBER($AF529),INDEX(IDX_SrcStat,$AF529),"—")</f>
        <v>—</v>
      </c>
      <c r="T529" s="35" t="str">
        <f aca="false">IF(ISNUMBER($AF529),INDEX(IDX_SrcGrade,$AF529),"—")</f>
        <v>—</v>
      </c>
      <c r="U529" s="35" t="s">
        <v>3189</v>
      </c>
      <c r="V529" s="186" t="n">
        <f aca="false">IF(AND($F529="原始數據",$U529&lt;&gt;"連結 SRC"),1,0)</f>
        <v>0</v>
      </c>
      <c r="W529" s="186" t="n">
        <f aca="false">IF(AND($F529="Analogy",OR($H529="—",$H529="")),1,0)</f>
        <v>0</v>
      </c>
      <c r="X529" s="186" t="n">
        <f aca="false">IF(AND(OR($F529="Analogy",$F529="Assumed"),$G529&lt;&gt;"低",$G529&lt;&gt;"高",NOT(ISNUMBER($K529)),NOT(ISNUMBER($L529)),OR($M529="—",$M529="")),1,0)</f>
        <v>0</v>
      </c>
      <c r="Y529" s="186" t="n">
        <f aca="false">IF(AND(OR($F529="Analogy",$F529="Assumed",$F529="Derived（待改公式）",$F529="Derived（公式）"),OR($N529="—",$N529="",$N529=0)),1,0)</f>
        <v>0</v>
      </c>
      <c r="Z529" s="186" t="n">
        <f aca="false">IF(AND($F529="Decision",OR($J529="—",$J529="")),1,0)</f>
        <v>0</v>
      </c>
      <c r="AA529" s="183" t="n">
        <f aca="false">IF(OR($J529="—",$J529=""),0,IF(COUNTIF(Decisions!$A$5:$A$300,$J529)=0,1,0))</f>
        <v>0</v>
      </c>
      <c r="AB529" s="186" t="n">
        <f aca="false">IF(AND($F529="原始數據",$S529&lt;&gt;"Active"),1,0)</f>
        <v>0</v>
      </c>
      <c r="AC529" s="186" t="n">
        <f aca="false">IF(AND(ISNUMBER($K529),ISNUMBER($L529),ISNUMBER($Q529)),IF(OR($Q529&lt;MIN($K529,$L529),$Q529&gt;MAX($K529,$L529)),1,0),0)</f>
        <v>0</v>
      </c>
      <c r="AD529" s="186" t="n">
        <f aca="false">IF(AND(ISNUMBER($T529),$P529="高"),IF($T529=3,1,0),0)</f>
        <v>0</v>
      </c>
      <c r="AE529" s="186" t="n">
        <f aca="false">IF($S529="不存在",1,0)</f>
        <v>0</v>
      </c>
      <c r="AF529" s="35" t="str">
        <f aca="false">IF(OR($H529="—",$H529=""),"—",MATCH($H529,IDX_SrcID,0))</f>
        <v>—</v>
      </c>
      <c r="AG529" s="104" t="n">
        <f aca="false">IF(AND($P529="高",OR($AD529=1,$X529=1)),1,0)</f>
        <v>0</v>
      </c>
      <c r="AH529" s="104" t="n">
        <f aca="false">IF(AND($P529="高",$AG529=0,OR($F529&lt;&gt;"原始數據",$T529&lt;&gt;1)),1,0)</f>
        <v>0</v>
      </c>
      <c r="AI529" s="53" t="str">
        <f aca="false">IF(AND($P529="高",ISNUMBER($AF529)),INDEX(IDX_SrcDate,$AF529),"—")</f>
        <v>—</v>
      </c>
      <c r="AJ529" s="104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6" t="s">
        <v>4579</v>
      </c>
      <c r="B530" s="215" t="s">
        <v>4244</v>
      </c>
      <c r="C530" s="36" t="s">
        <v>4197</v>
      </c>
      <c r="D530" s="36" t="s">
        <v>3438</v>
      </c>
      <c r="E530" s="19" t="s">
        <v>4580</v>
      </c>
      <c r="F530" s="36" t="s">
        <v>84</v>
      </c>
      <c r="G530" s="215" t="s">
        <v>3185</v>
      </c>
      <c r="H530" s="36" t="s">
        <v>2434</v>
      </c>
      <c r="I530" s="19" t="s">
        <v>4581</v>
      </c>
      <c r="J530" s="36" t="s">
        <v>4582</v>
      </c>
      <c r="K530" s="182" t="n">
        <f aca="false">Sens_Train!AC119</f>
        <v>4.4</v>
      </c>
      <c r="L530" s="182" t="n">
        <f aca="false">Sens_Train!AE119</f>
        <v>10.4</v>
      </c>
      <c r="M530" s="36" t="s">
        <v>587</v>
      </c>
      <c r="N530" s="6" t="s">
        <v>4583</v>
      </c>
      <c r="O530" s="6" t="s">
        <v>587</v>
      </c>
      <c r="P530" s="215" t="s">
        <v>1116</v>
      </c>
      <c r="Q530" s="182" t="n">
        <f aca="false">Train_In!C13</f>
        <v>8</v>
      </c>
      <c r="R530" s="185" t="n">
        <f aca="false">SRC_DEM_001</f>
        <v>0.096</v>
      </c>
      <c r="S530" s="35" t="str">
        <f aca="false">IF(ISNUMBER($AF530),INDEX(IDX_SrcStat,$AF530),"—")</f>
        <v>Active</v>
      </c>
      <c r="T530" s="35" t="n">
        <f aca="false">IF(ISNUMBER($AF530),INDEX(IDX_SrcGrade,$AF530),"—")</f>
        <v>1</v>
      </c>
      <c r="U530" s="35" t="s">
        <v>3189</v>
      </c>
      <c r="V530" s="186" t="n">
        <f aca="false">IF(AND($F530="原始數據",$U530&lt;&gt;"連結 SRC"),1,0)</f>
        <v>0</v>
      </c>
      <c r="W530" s="186" t="n">
        <f aca="false">IF(AND($F530="Analogy",OR($H530="—",$H530="")),1,0)</f>
        <v>0</v>
      </c>
      <c r="X530" s="186" t="n">
        <f aca="false">IF(AND(OR($F530="Analogy",$F530="Assumed"),$G530&lt;&gt;"低",$G530&lt;&gt;"高",NOT(ISNUMBER($K530)),NOT(ISNUMBER($L530)),OR($M530="—",$M530="")),1,0)</f>
        <v>0</v>
      </c>
      <c r="Y530" s="186" t="n">
        <f aca="false">IF(AND(OR($F530="Analogy",$F530="Assumed",$F530="Derived（待改公式）",$F530="Derived（公式）"),OR($N530="—",$N530="",$N530=0)),1,0)</f>
        <v>0</v>
      </c>
      <c r="Z530" s="186" t="n">
        <f aca="false">IF(AND($F530="Decision",OR($J530="—",$J530="")),1,0)</f>
        <v>0</v>
      </c>
      <c r="AA530" s="183" t="n">
        <f aca="false">IF(OR($J530="—",$J530=""),0,IF(COUNTIF(Decisions!$A$5:$A$300,$J530)=0,1,0))</f>
        <v>0</v>
      </c>
      <c r="AB530" s="186" t="n">
        <f aca="false">IF(AND($F530="原始數據",$S530&lt;&gt;"Active"),1,0)</f>
        <v>0</v>
      </c>
      <c r="AC530" s="186" t="n">
        <f aca="false">IF(AND(ISNUMBER($K530),ISNUMBER($L530),ISNUMBER($Q530)),IF(OR($Q530&lt;MIN($K530,$L530),$Q530&gt;MAX($K530,$L530)),1,0),0)</f>
        <v>0</v>
      </c>
      <c r="AD530" s="186" t="n">
        <f aca="false">IF(AND(ISNUMBER($T530),$P530="高"),IF($T530=3,1,0),0)</f>
        <v>0</v>
      </c>
      <c r="AE530" s="186" t="n">
        <f aca="false">IF($S530="不存在",1,0)</f>
        <v>0</v>
      </c>
      <c r="AF530" s="35" t="n">
        <f aca="false">IF(OR($H530="—",$H530=""),"—",MATCH($H530,IDX_SrcID,0))</f>
        <v>628</v>
      </c>
      <c r="AG530" s="104" t="n">
        <f aca="false">IF(AND($P530="高",OR($AD530=1,$X530=1)),1,0)</f>
        <v>0</v>
      </c>
      <c r="AH530" s="104" t="n">
        <f aca="false">IF(AND($P530="高",$AG530=0,OR($F530&lt;&gt;"原始數據",$T530&lt;&gt;1)),1,0)</f>
        <v>1</v>
      </c>
      <c r="AI530" s="53" t="str">
        <f aca="false">IF(AND($P530="高",ISNUMBER($AF530)),INDEX(IDX_SrcDate,$AF530),"—")</f>
        <v>—</v>
      </c>
      <c r="AJ530" s="104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6" t="s">
        <v>4584</v>
      </c>
      <c r="B531" s="215" t="s">
        <v>4244</v>
      </c>
      <c r="C531" s="36" t="s">
        <v>4197</v>
      </c>
      <c r="D531" s="36" t="s">
        <v>3691</v>
      </c>
      <c r="E531" s="19" t="s">
        <v>4585</v>
      </c>
      <c r="F531" s="36" t="s">
        <v>80</v>
      </c>
      <c r="G531" s="215" t="s">
        <v>3185</v>
      </c>
      <c r="H531" s="36" t="s">
        <v>587</v>
      </c>
      <c r="I531" s="6" t="s">
        <v>587</v>
      </c>
      <c r="J531" s="36" t="s">
        <v>587</v>
      </c>
      <c r="K531" s="217" t="n">
        <v>2</v>
      </c>
      <c r="L531" s="217" t="n">
        <v>3</v>
      </c>
      <c r="M531" s="36" t="s">
        <v>4586</v>
      </c>
      <c r="N531" s="19" t="s">
        <v>4587</v>
      </c>
      <c r="O531" s="6" t="s">
        <v>587</v>
      </c>
      <c r="P531" s="215" t="s">
        <v>3188</v>
      </c>
      <c r="Q531" s="183" t="n">
        <f aca="false">Train_In!C15</f>
        <v>3</v>
      </c>
      <c r="R531" s="36" t="s">
        <v>587</v>
      </c>
      <c r="S531" s="35" t="str">
        <f aca="false">IF(ISNUMBER($AF531),INDEX(IDX_SrcStat,$AF531),"—")</f>
        <v>—</v>
      </c>
      <c r="T531" s="35" t="str">
        <f aca="false">IF(ISNUMBER($AF531),INDEX(IDX_SrcGrade,$AF531),"—")</f>
        <v>—</v>
      </c>
      <c r="U531" s="35" t="s">
        <v>3189</v>
      </c>
      <c r="V531" s="186" t="n">
        <f aca="false">IF(AND($F531="原始數據",$U531&lt;&gt;"連結 SRC"),1,0)</f>
        <v>0</v>
      </c>
      <c r="W531" s="186" t="n">
        <f aca="false">IF(AND($F531="Analogy",OR($H531="—",$H531="")),1,0)</f>
        <v>0</v>
      </c>
      <c r="X531" s="186" t="n">
        <f aca="false">IF(AND(OR($F531="Analogy",$F531="Assumed"),$G531&lt;&gt;"低",$G531&lt;&gt;"高",NOT(ISNUMBER($K531)),NOT(ISNUMBER($L531)),OR($M531="—",$M531="")),1,0)</f>
        <v>0</v>
      </c>
      <c r="Y531" s="186" t="n">
        <f aca="false">IF(AND(OR($F531="Analogy",$F531="Assumed",$F531="Derived（待改公式）",$F531="Derived（公式）"),OR($N531="—",$N531="",$N531=0)),1,0)</f>
        <v>0</v>
      </c>
      <c r="Z531" s="186" t="n">
        <f aca="false">IF(AND($F531="Decision",OR($J531="—",$J531="")),1,0)</f>
        <v>0</v>
      </c>
      <c r="AA531" s="183" t="n">
        <f aca="false">IF(OR($J531="—",$J531=""),0,IF(COUNTIF(Decisions!$A$5:$A$300,$J531)=0,1,0))</f>
        <v>0</v>
      </c>
      <c r="AB531" s="186" t="n">
        <f aca="false">IF(AND($F531="原始數據",$S531&lt;&gt;"Active"),1,0)</f>
        <v>0</v>
      </c>
      <c r="AC531" s="186" t="n">
        <f aca="false">IF(AND(ISNUMBER($K531),ISNUMBER($L531),ISNUMBER($Q531)),IF(OR($Q531&lt;MIN($K531,$L531),$Q531&gt;MAX($K531,$L531)),1,0),0)</f>
        <v>0</v>
      </c>
      <c r="AD531" s="186" t="n">
        <f aca="false">IF(AND(ISNUMBER($T531),$P531="高"),IF($T531=3,1,0),0)</f>
        <v>0</v>
      </c>
      <c r="AE531" s="186" t="n">
        <f aca="false">IF($S531="不存在",1,0)</f>
        <v>0</v>
      </c>
      <c r="AF531" s="35" t="str">
        <f aca="false">IF(OR($H531="—",$H531=""),"—",MATCH($H531,IDX_SrcID,0))</f>
        <v>—</v>
      </c>
      <c r="AG531" s="104" t="n">
        <f aca="false">IF(AND($P531="高",OR($AD531=1,$X531=1)),1,0)</f>
        <v>0</v>
      </c>
      <c r="AH531" s="104" t="n">
        <f aca="false">IF(AND($P531="高",$AG531=0,OR($F531&lt;&gt;"原始數據",$T531&lt;&gt;1)),1,0)</f>
        <v>0</v>
      </c>
      <c r="AI531" s="53" t="str">
        <f aca="false">IF(AND($P531="高",ISNUMBER($AF531)),INDEX(IDX_SrcDate,$AF531),"—")</f>
        <v>—</v>
      </c>
      <c r="AJ531" s="104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6" t="s">
        <v>4588</v>
      </c>
      <c r="B532" s="215" t="s">
        <v>4244</v>
      </c>
      <c r="C532" s="36" t="s">
        <v>4197</v>
      </c>
      <c r="D532" s="36" t="s">
        <v>3696</v>
      </c>
      <c r="E532" s="19" t="s">
        <v>910</v>
      </c>
      <c r="F532" s="36" t="s">
        <v>72</v>
      </c>
      <c r="G532" s="215" t="s">
        <v>3185</v>
      </c>
      <c r="H532" s="36" t="s">
        <v>587</v>
      </c>
      <c r="I532" s="6" t="s">
        <v>587</v>
      </c>
      <c r="J532" s="36" t="s">
        <v>4589</v>
      </c>
      <c r="K532" s="215"/>
      <c r="L532" s="215"/>
      <c r="M532" s="215" t="s">
        <v>3102</v>
      </c>
      <c r="N532" s="6" t="s">
        <v>4590</v>
      </c>
      <c r="O532" s="6" t="s">
        <v>587</v>
      </c>
      <c r="P532" s="215" t="s">
        <v>3188</v>
      </c>
      <c r="Q532" s="183" t="n">
        <f aca="false">Train_In!C16</f>
        <v>4</v>
      </c>
      <c r="R532" s="36" t="s">
        <v>587</v>
      </c>
      <c r="S532" s="35" t="str">
        <f aca="false">IF(ISNUMBER($AF532),INDEX(IDX_SrcStat,$AF532),"—")</f>
        <v>—</v>
      </c>
      <c r="T532" s="35" t="str">
        <f aca="false">IF(ISNUMBER($AF532),INDEX(IDX_SrcGrade,$AF532),"—")</f>
        <v>—</v>
      </c>
      <c r="U532" s="35" t="s">
        <v>3189</v>
      </c>
      <c r="V532" s="186" t="n">
        <f aca="false">IF(AND($F532="原始數據",$U532&lt;&gt;"連結 SRC"),1,0)</f>
        <v>0</v>
      </c>
      <c r="W532" s="186" t="n">
        <f aca="false">IF(AND($F532="Analogy",OR($H532="—",$H532="")),1,0)</f>
        <v>0</v>
      </c>
      <c r="X532" s="186" t="n">
        <f aca="false">IF(AND(OR($F532="Analogy",$F532="Assumed"),$G532&lt;&gt;"低",$G532&lt;&gt;"高",NOT(ISNUMBER($K532)),NOT(ISNUMBER($L532)),OR($M532="—",$M532="")),1,0)</f>
        <v>0</v>
      </c>
      <c r="Y532" s="186" t="n">
        <f aca="false">IF(AND(OR($F532="Analogy",$F532="Assumed",$F532="Derived（待改公式）",$F532="Derived（公式）"),OR($N532="—",$N532="",$N532=0)),1,0)</f>
        <v>0</v>
      </c>
      <c r="Z532" s="186" t="n">
        <f aca="false">IF(AND($F532="Decision",OR($J532="—",$J532="")),1,0)</f>
        <v>0</v>
      </c>
      <c r="AA532" s="183" t="n">
        <f aca="false">IF(OR($J532="—",$J532=""),0,IF(COUNTIF(Decisions!$A$5:$A$300,$J532)=0,1,0))</f>
        <v>0</v>
      </c>
      <c r="AB532" s="186" t="n">
        <f aca="false">IF(AND($F532="原始數據",$S532&lt;&gt;"Active"),1,0)</f>
        <v>0</v>
      </c>
      <c r="AC532" s="186" t="n">
        <f aca="false">IF(AND(ISNUMBER($K532),ISNUMBER($L532),ISNUMBER($Q532)),IF(OR($Q532&lt;MIN($K532,$L532),$Q532&gt;MAX($K532,$L532)),1,0),0)</f>
        <v>0</v>
      </c>
      <c r="AD532" s="186" t="n">
        <f aca="false">IF(AND(ISNUMBER($T532),$P532="高"),IF($T532=3,1,0),0)</f>
        <v>0</v>
      </c>
      <c r="AE532" s="186" t="n">
        <f aca="false">IF($S532="不存在",1,0)</f>
        <v>0</v>
      </c>
      <c r="AF532" s="35" t="str">
        <f aca="false">IF(OR($H532="—",$H532=""),"—",MATCH($H532,IDX_SrcID,0))</f>
        <v>—</v>
      </c>
      <c r="AG532" s="104" t="n">
        <f aca="false">IF(AND($P532="高",OR($AD532=1,$X532=1)),1,0)</f>
        <v>0</v>
      </c>
      <c r="AH532" s="104" t="n">
        <f aca="false">IF(AND($P532="高",$AG532=0,OR($F532&lt;&gt;"原始數據",$T532&lt;&gt;1)),1,0)</f>
        <v>0</v>
      </c>
      <c r="AI532" s="53" t="str">
        <f aca="false">IF(AND($P532="高",ISNUMBER($AF532)),INDEX(IDX_SrcDate,$AF532),"—")</f>
        <v>—</v>
      </c>
      <c r="AJ532" s="104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6" t="s">
        <v>4591</v>
      </c>
      <c r="B533" s="215" t="s">
        <v>4244</v>
      </c>
      <c r="C533" s="36" t="s">
        <v>4197</v>
      </c>
      <c r="D533" s="36" t="s">
        <v>3718</v>
      </c>
      <c r="E533" s="19" t="s">
        <v>913</v>
      </c>
      <c r="F533" s="36" t="s">
        <v>72</v>
      </c>
      <c r="G533" s="215" t="s">
        <v>3185</v>
      </c>
      <c r="H533" s="36" t="s">
        <v>587</v>
      </c>
      <c r="I533" s="6" t="s">
        <v>587</v>
      </c>
      <c r="J533" s="36" t="s">
        <v>4589</v>
      </c>
      <c r="K533" s="215"/>
      <c r="L533" s="215"/>
      <c r="M533" s="215" t="s">
        <v>3102</v>
      </c>
      <c r="N533" s="6" t="s">
        <v>4592</v>
      </c>
      <c r="O533" s="6" t="s">
        <v>587</v>
      </c>
      <c r="P533" s="215" t="s">
        <v>3188</v>
      </c>
      <c r="Q533" s="183" t="n">
        <f aca="false">Train_In!C17</f>
        <v>3</v>
      </c>
      <c r="R533" s="36" t="s">
        <v>587</v>
      </c>
      <c r="S533" s="35" t="str">
        <f aca="false">IF(ISNUMBER($AF533),INDEX(IDX_SrcStat,$AF533),"—")</f>
        <v>—</v>
      </c>
      <c r="T533" s="35" t="str">
        <f aca="false">IF(ISNUMBER($AF533),INDEX(IDX_SrcGrade,$AF533),"—")</f>
        <v>—</v>
      </c>
      <c r="U533" s="35" t="s">
        <v>3189</v>
      </c>
      <c r="V533" s="186" t="n">
        <f aca="false">IF(AND($F533="原始數據",$U533&lt;&gt;"連結 SRC"),1,0)</f>
        <v>0</v>
      </c>
      <c r="W533" s="186" t="n">
        <f aca="false">IF(AND($F533="Analogy",OR($H533="—",$H533="")),1,0)</f>
        <v>0</v>
      </c>
      <c r="X533" s="186" t="n">
        <f aca="false">IF(AND(OR($F533="Analogy",$F533="Assumed"),$G533&lt;&gt;"低",$G533&lt;&gt;"高",NOT(ISNUMBER($K533)),NOT(ISNUMBER($L533)),OR($M533="—",$M533="")),1,0)</f>
        <v>0</v>
      </c>
      <c r="Y533" s="186" t="n">
        <f aca="false">IF(AND(OR($F533="Analogy",$F533="Assumed",$F533="Derived（待改公式）",$F533="Derived（公式）"),OR($N533="—",$N533="",$N533=0)),1,0)</f>
        <v>0</v>
      </c>
      <c r="Z533" s="186" t="n">
        <f aca="false">IF(AND($F533="Decision",OR($J533="—",$J533="")),1,0)</f>
        <v>0</v>
      </c>
      <c r="AA533" s="183" t="n">
        <f aca="false">IF(OR($J533="—",$J533=""),0,IF(COUNTIF(Decisions!$A$5:$A$300,$J533)=0,1,0))</f>
        <v>0</v>
      </c>
      <c r="AB533" s="186" t="n">
        <f aca="false">IF(AND($F533="原始數據",$S533&lt;&gt;"Active"),1,0)</f>
        <v>0</v>
      </c>
      <c r="AC533" s="186" t="n">
        <f aca="false">IF(AND(ISNUMBER($K533),ISNUMBER($L533),ISNUMBER($Q533)),IF(OR($Q533&lt;MIN($K533,$L533),$Q533&gt;MAX($K533,$L533)),1,0),0)</f>
        <v>0</v>
      </c>
      <c r="AD533" s="186" t="n">
        <f aca="false">IF(AND(ISNUMBER($T533),$P533="高"),IF($T533=3,1,0),0)</f>
        <v>0</v>
      </c>
      <c r="AE533" s="186" t="n">
        <f aca="false">IF($S533="不存在",1,0)</f>
        <v>0</v>
      </c>
      <c r="AF533" s="35" t="str">
        <f aca="false">IF(OR($H533="—",$H533=""),"—",MATCH($H533,IDX_SrcID,0))</f>
        <v>—</v>
      </c>
      <c r="AG533" s="104" t="n">
        <f aca="false">IF(AND($P533="高",OR($AD533=1,$X533=1)),1,0)</f>
        <v>0</v>
      </c>
      <c r="AH533" s="104" t="n">
        <f aca="false">IF(AND($P533="高",$AG533=0,OR($F533&lt;&gt;"原始數據",$T533&lt;&gt;1)),1,0)</f>
        <v>0</v>
      </c>
      <c r="AI533" s="53" t="str">
        <f aca="false">IF(AND($P533="高",ISNUMBER($AF533)),INDEX(IDX_SrcDate,$AF533),"—")</f>
        <v>—</v>
      </c>
      <c r="AJ533" s="104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6" t="s">
        <v>4593</v>
      </c>
      <c r="B534" s="215" t="s">
        <v>4244</v>
      </c>
      <c r="C534" s="36" t="s">
        <v>4197</v>
      </c>
      <c r="D534" s="36" t="s">
        <v>4594</v>
      </c>
      <c r="E534" s="19" t="s">
        <v>4595</v>
      </c>
      <c r="F534" s="36" t="s">
        <v>80</v>
      </c>
      <c r="G534" s="215" t="s">
        <v>3930</v>
      </c>
      <c r="H534" s="36" t="s">
        <v>587</v>
      </c>
      <c r="I534" s="6" t="s">
        <v>587</v>
      </c>
      <c r="J534" s="36" t="s">
        <v>587</v>
      </c>
      <c r="K534" s="215"/>
      <c r="L534" s="215"/>
      <c r="M534" s="215" t="s">
        <v>4596</v>
      </c>
      <c r="N534" s="19" t="s">
        <v>4597</v>
      </c>
      <c r="O534" s="6" t="s">
        <v>587</v>
      </c>
      <c r="P534" s="215" t="s">
        <v>1116</v>
      </c>
      <c r="Q534" s="185" t="s">
        <v>587</v>
      </c>
      <c r="R534" s="36" t="s">
        <v>587</v>
      </c>
      <c r="S534" s="35" t="str">
        <f aca="false">IF(ISNUMBER($AF534),INDEX(IDX_SrcStat,$AF534),"—")</f>
        <v>—</v>
      </c>
      <c r="T534" s="35" t="str">
        <f aca="false">IF(ISNUMBER($AF534),INDEX(IDX_SrcGrade,$AF534),"—")</f>
        <v>—</v>
      </c>
      <c r="U534" s="36" t="s">
        <v>587</v>
      </c>
      <c r="V534" s="186" t="n">
        <f aca="false">IF(AND($F534="原始數據",$U534&lt;&gt;"連結 SRC"),1,0)</f>
        <v>0</v>
      </c>
      <c r="W534" s="186" t="n">
        <f aca="false">IF(AND($F534="Analogy",OR($H534="—",$H534="")),1,0)</f>
        <v>0</v>
      </c>
      <c r="X534" s="186" t="n">
        <f aca="false">IF(AND(OR($F534="Analogy",$F534="Assumed"),$G534&lt;&gt;"低",$G534&lt;&gt;"高",NOT(ISNUMBER($K534)),NOT(ISNUMBER($L534)),OR($M534="—",$M534="")),1,0)</f>
        <v>0</v>
      </c>
      <c r="Y534" s="186" t="n">
        <f aca="false">IF(AND(OR($F534="Analogy",$F534="Assumed",$F534="Derived（待改公式）",$F534="Derived（公式）"),OR($N534="—",$N534="",$N534=0)),1,0)</f>
        <v>0</v>
      </c>
      <c r="Z534" s="186" t="n">
        <f aca="false">IF(AND($F534="Decision",OR($J534="—",$J534="")),1,0)</f>
        <v>0</v>
      </c>
      <c r="AA534" s="183" t="n">
        <f aca="false">IF(OR($J534="—",$J534=""),0,IF(COUNTIF(Decisions!$A$5:$A$300,$J534)=0,1,0))</f>
        <v>0</v>
      </c>
      <c r="AB534" s="186" t="n">
        <f aca="false">IF(AND($F534="原始數據",$S534&lt;&gt;"Active"),1,0)</f>
        <v>0</v>
      </c>
      <c r="AC534" s="186" t="n">
        <f aca="false">IF(AND(ISNUMBER($K534),ISNUMBER($L534),ISNUMBER($Q534)),IF(OR($Q534&lt;MIN($K534,$L534),$Q534&gt;MAX($K534,$L534)),1,0),0)</f>
        <v>0</v>
      </c>
      <c r="AD534" s="186" t="n">
        <f aca="false">IF(AND(ISNUMBER($T534),$P534="高"),IF($T534=3,1,0),0)</f>
        <v>0</v>
      </c>
      <c r="AE534" s="186" t="n">
        <f aca="false">IF($S534="不存在",1,0)</f>
        <v>0</v>
      </c>
      <c r="AF534" s="35" t="str">
        <f aca="false">IF(OR($H534="—",$H534=""),"—",MATCH($H534,IDX_SrcID,0))</f>
        <v>—</v>
      </c>
      <c r="AG534" s="104" t="n">
        <f aca="false">IF(AND($P534="高",OR($AD534=1,$X534=1)),1,0)</f>
        <v>0</v>
      </c>
      <c r="AH534" s="104" t="n">
        <f aca="false">IF(AND($P534="高",$AG534=0,OR($F534&lt;&gt;"原始數據",$T534&lt;&gt;1)),1,0)</f>
        <v>1</v>
      </c>
      <c r="AI534" s="53" t="str">
        <f aca="false">IF(AND($P534="高",ISNUMBER($AF534)),INDEX(IDX_SrcDate,$AF534),"—")</f>
        <v>—</v>
      </c>
      <c r="AJ534" s="104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6" t="s">
        <v>4598</v>
      </c>
      <c r="B535" s="215" t="s">
        <v>4244</v>
      </c>
      <c r="C535" s="36" t="s">
        <v>4197</v>
      </c>
      <c r="D535" s="36" t="s">
        <v>3329</v>
      </c>
      <c r="E535" s="19" t="s">
        <v>4198</v>
      </c>
      <c r="F535" s="36" t="s">
        <v>80</v>
      </c>
      <c r="G535" s="215" t="s">
        <v>3185</v>
      </c>
      <c r="H535" s="36" t="s">
        <v>587</v>
      </c>
      <c r="I535" s="6" t="s">
        <v>587</v>
      </c>
      <c r="J535" s="36" t="s">
        <v>4599</v>
      </c>
      <c r="K535" s="217" t="n">
        <v>30</v>
      </c>
      <c r="L535" s="217" t="n">
        <v>100</v>
      </c>
      <c r="M535" s="36" t="s">
        <v>4600</v>
      </c>
      <c r="N535" s="6" t="s">
        <v>4601</v>
      </c>
      <c r="O535" s="6" t="s">
        <v>587</v>
      </c>
      <c r="P535" s="215" t="s">
        <v>1116</v>
      </c>
      <c r="Q535" s="178" t="n">
        <f aca="false">Train_In!E25</f>
        <v>60</v>
      </c>
      <c r="R535" s="36" t="s">
        <v>587</v>
      </c>
      <c r="S535" s="35" t="str">
        <f aca="false">IF(ISNUMBER($AF535),INDEX(IDX_SrcStat,$AF535),"—")</f>
        <v>—</v>
      </c>
      <c r="T535" s="35" t="str">
        <f aca="false">IF(ISNUMBER($AF535),INDEX(IDX_SrcGrade,$AF535),"—")</f>
        <v>—</v>
      </c>
      <c r="U535" s="35" t="s">
        <v>3189</v>
      </c>
      <c r="V535" s="186" t="n">
        <f aca="false">IF(AND($F535="原始數據",$U535&lt;&gt;"連結 SRC"),1,0)</f>
        <v>0</v>
      </c>
      <c r="W535" s="186" t="n">
        <f aca="false">IF(AND($F535="Analogy",OR($H535="—",$H535="")),1,0)</f>
        <v>0</v>
      </c>
      <c r="X535" s="186" t="n">
        <f aca="false">IF(AND(OR($F535="Analogy",$F535="Assumed"),$G535&lt;&gt;"低",$G535&lt;&gt;"高",NOT(ISNUMBER($K535)),NOT(ISNUMBER($L535)),OR($M535="—",$M535="")),1,0)</f>
        <v>0</v>
      </c>
      <c r="Y535" s="186" t="n">
        <f aca="false">IF(AND(OR($F535="Analogy",$F535="Assumed",$F535="Derived（待改公式）",$F535="Derived（公式）"),OR($N535="—",$N535="",$N535=0)),1,0)</f>
        <v>0</v>
      </c>
      <c r="Z535" s="186" t="n">
        <f aca="false">IF(AND($F535="Decision",OR($J535="—",$J535="")),1,0)</f>
        <v>0</v>
      </c>
      <c r="AA535" s="183" t="n">
        <f aca="false">IF(OR($J535="—",$J535=""),0,IF(COUNTIF(Decisions!$A$5:$A$300,$J535)=0,1,0))</f>
        <v>0</v>
      </c>
      <c r="AB535" s="186" t="n">
        <f aca="false">IF(AND($F535="原始數據",$S535&lt;&gt;"Active"),1,0)</f>
        <v>0</v>
      </c>
      <c r="AC535" s="186" t="n">
        <f aca="false">IF(AND(ISNUMBER($K535),ISNUMBER($L535),ISNUMBER($Q535)),IF(OR($Q535&lt;MIN($K535,$L535),$Q535&gt;MAX($K535,$L535)),1,0),0)</f>
        <v>0</v>
      </c>
      <c r="AD535" s="186" t="n">
        <f aca="false">IF(AND(ISNUMBER($T535),$P535="高"),IF($T535=3,1,0),0)</f>
        <v>0</v>
      </c>
      <c r="AE535" s="186" t="n">
        <f aca="false">IF($S535="不存在",1,0)</f>
        <v>0</v>
      </c>
      <c r="AF535" s="35" t="str">
        <f aca="false">IF(OR($H535="—",$H535=""),"—",MATCH($H535,IDX_SrcID,0))</f>
        <v>—</v>
      </c>
      <c r="AG535" s="104" t="n">
        <f aca="false">IF(AND($P535="高",OR($AD535=1,$X535=1)),1,0)</f>
        <v>0</v>
      </c>
      <c r="AH535" s="104" t="n">
        <f aca="false">IF(AND($P535="高",$AG535=0,OR($F535&lt;&gt;"原始數據",$T535&lt;&gt;1)),1,0)</f>
        <v>1</v>
      </c>
      <c r="AI535" s="53" t="str">
        <f aca="false">IF(AND($P535="高",ISNUMBER($AF535)),INDEX(IDX_SrcDate,$AF535),"—")</f>
        <v>—</v>
      </c>
      <c r="AJ535" s="104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6" t="s">
        <v>4602</v>
      </c>
      <c r="B536" s="215" t="s">
        <v>4244</v>
      </c>
      <c r="C536" s="36" t="s">
        <v>4197</v>
      </c>
      <c r="D536" s="36" t="s">
        <v>3333</v>
      </c>
      <c r="E536" s="19" t="s">
        <v>4203</v>
      </c>
      <c r="F536" s="36" t="s">
        <v>80</v>
      </c>
      <c r="G536" s="215" t="s">
        <v>3185</v>
      </c>
      <c r="H536" s="36" t="s">
        <v>4204</v>
      </c>
      <c r="I536" s="6" t="s">
        <v>587</v>
      </c>
      <c r="J536" s="36" t="s">
        <v>587</v>
      </c>
      <c r="K536" s="217" t="n">
        <v>4096</v>
      </c>
      <c r="L536" s="217" t="n">
        <v>16384</v>
      </c>
      <c r="M536" s="36" t="s">
        <v>4603</v>
      </c>
      <c r="N536" s="6" t="s">
        <v>4604</v>
      </c>
      <c r="O536" s="6" t="s">
        <v>587</v>
      </c>
      <c r="P536" s="215" t="s">
        <v>3244</v>
      </c>
      <c r="Q536" s="41" t="n">
        <f aca="false">Train_In!E26</f>
        <v>8192</v>
      </c>
      <c r="R536" s="185" t="n">
        <f aca="false">SRC_MOD_031</f>
        <v>4096</v>
      </c>
      <c r="S536" s="35" t="str">
        <f aca="false">IF(ISNUMBER($AF536),INDEX(IDX_SrcStat,$AF536),"—")</f>
        <v>Active</v>
      </c>
      <c r="T536" s="35" t="n">
        <f aca="false">IF(ISNUMBER($AF536),INDEX(IDX_SrcGrade,$AF536),"—")</f>
        <v>1</v>
      </c>
      <c r="U536" s="35" t="s">
        <v>3189</v>
      </c>
      <c r="V536" s="186" t="n">
        <f aca="false">IF(AND($F536="原始數據",$U536&lt;&gt;"連結 SRC"),1,0)</f>
        <v>0</v>
      </c>
      <c r="W536" s="186" t="n">
        <f aca="false">IF(AND($F536="Analogy",OR($H536="—",$H536="")),1,0)</f>
        <v>0</v>
      </c>
      <c r="X536" s="186" t="n">
        <f aca="false">IF(AND(OR($F536="Analogy",$F536="Assumed"),$G536&lt;&gt;"低",$G536&lt;&gt;"高",NOT(ISNUMBER($K536)),NOT(ISNUMBER($L536)),OR($M536="—",$M536="")),1,0)</f>
        <v>0</v>
      </c>
      <c r="Y536" s="186" t="n">
        <f aca="false">IF(AND(OR($F536="Analogy",$F536="Assumed",$F536="Derived（待改公式）",$F536="Derived（公式）"),OR($N536="—",$N536="",$N536=0)),1,0)</f>
        <v>0</v>
      </c>
      <c r="Z536" s="186" t="n">
        <f aca="false">IF(AND($F536="Decision",OR($J536="—",$J536="")),1,0)</f>
        <v>0</v>
      </c>
      <c r="AA536" s="183" t="n">
        <f aca="false">IF(OR($J536="—",$J536=""),0,IF(COUNTIF(Decisions!$A$5:$A$300,$J536)=0,1,0))</f>
        <v>0</v>
      </c>
      <c r="AB536" s="186" t="n">
        <f aca="false">IF(AND($F536="原始數據",$S536&lt;&gt;"Active"),1,0)</f>
        <v>0</v>
      </c>
      <c r="AC536" s="186" t="n">
        <f aca="false">IF(AND(ISNUMBER($K536),ISNUMBER($L536),ISNUMBER($Q536)),IF(OR($Q536&lt;MIN($K536,$L536),$Q536&gt;MAX($K536,$L536)),1,0),0)</f>
        <v>0</v>
      </c>
      <c r="AD536" s="186" t="n">
        <f aca="false">IF(AND(ISNUMBER($T536),$P536="高"),IF($T536=3,1,0),0)</f>
        <v>0</v>
      </c>
      <c r="AE536" s="186" t="n">
        <f aca="false">IF($S536="不存在",1,0)</f>
        <v>0</v>
      </c>
      <c r="AF536" s="35" t="n">
        <f aca="false">IF(OR($H536="—",$H536=""),"—",MATCH($H536,IDX_SrcID,0))</f>
        <v>208</v>
      </c>
      <c r="AG536" s="104" t="n">
        <f aca="false">IF(AND($P536="高",OR($AD536=1,$X536=1)),1,0)</f>
        <v>0</v>
      </c>
      <c r="AH536" s="104" t="n">
        <f aca="false">IF(AND($P536="高",$AG536=0,OR($F536&lt;&gt;"原始數據",$T536&lt;&gt;1)),1,0)</f>
        <v>0</v>
      </c>
      <c r="AI536" s="53" t="str">
        <f aca="false">IF(AND($P536="高",ISNUMBER($AF536)),INDEX(IDX_SrcDate,$AF536),"—")</f>
        <v>—</v>
      </c>
      <c r="AJ536" s="104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6" t="s">
        <v>4605</v>
      </c>
      <c r="B537" s="215" t="s">
        <v>4244</v>
      </c>
      <c r="C537" s="36" t="s">
        <v>4197</v>
      </c>
      <c r="D537" s="36" t="s">
        <v>4606</v>
      </c>
      <c r="E537" s="19" t="s">
        <v>4607</v>
      </c>
      <c r="F537" s="36" t="s">
        <v>80</v>
      </c>
      <c r="G537" s="215" t="s">
        <v>3930</v>
      </c>
      <c r="H537" s="36" t="s">
        <v>587</v>
      </c>
      <c r="I537" s="6" t="s">
        <v>587</v>
      </c>
      <c r="J537" s="36" t="s">
        <v>587</v>
      </c>
      <c r="K537" s="215"/>
      <c r="L537" s="215"/>
      <c r="M537" s="36" t="s">
        <v>4608</v>
      </c>
      <c r="N537" s="19" t="s">
        <v>4609</v>
      </c>
      <c r="O537" s="6" t="s">
        <v>587</v>
      </c>
      <c r="P537" s="215" t="s">
        <v>1115</v>
      </c>
      <c r="Q537" s="185" t="s">
        <v>587</v>
      </c>
      <c r="R537" s="36" t="s">
        <v>587</v>
      </c>
      <c r="S537" s="35" t="str">
        <f aca="false">IF(ISNUMBER($AF537),INDEX(IDX_SrcStat,$AF537),"—")</f>
        <v>—</v>
      </c>
      <c r="T537" s="35" t="str">
        <f aca="false">IF(ISNUMBER($AF537),INDEX(IDX_SrcGrade,$AF537),"—")</f>
        <v>—</v>
      </c>
      <c r="U537" s="36" t="s">
        <v>587</v>
      </c>
      <c r="V537" s="186" t="n">
        <f aca="false">IF(AND($F537="原始數據",$U537&lt;&gt;"連結 SRC"),1,0)</f>
        <v>0</v>
      </c>
      <c r="W537" s="186" t="n">
        <f aca="false">IF(AND($F537="Analogy",OR($H537="—",$H537="")),1,0)</f>
        <v>0</v>
      </c>
      <c r="X537" s="186" t="n">
        <f aca="false">IF(AND(OR($F537="Analogy",$F537="Assumed"),$G537&lt;&gt;"低",$G537&lt;&gt;"高",NOT(ISNUMBER($K537)),NOT(ISNUMBER($L537)),OR($M537="—",$M537="")),1,0)</f>
        <v>0</v>
      </c>
      <c r="Y537" s="186" t="n">
        <f aca="false">IF(AND(OR($F537="Analogy",$F537="Assumed",$F537="Derived（待改公式）",$F537="Derived（公式）"),OR($N537="—",$N537="",$N537=0)),1,0)</f>
        <v>0</v>
      </c>
      <c r="Z537" s="186" t="n">
        <f aca="false">IF(AND($F537="Decision",OR($J537="—",$J537="")),1,0)</f>
        <v>0</v>
      </c>
      <c r="AA537" s="183" t="n">
        <f aca="false">IF(OR($J537="—",$J537=""),0,IF(COUNTIF(Decisions!$A$5:$A$300,$J537)=0,1,0))</f>
        <v>0</v>
      </c>
      <c r="AB537" s="186" t="n">
        <f aca="false">IF(AND($F537="原始數據",$S537&lt;&gt;"Active"),1,0)</f>
        <v>0</v>
      </c>
      <c r="AC537" s="186" t="n">
        <f aca="false">IF(AND(ISNUMBER($K537),ISNUMBER($L537),ISNUMBER($Q537)),IF(OR($Q537&lt;MIN($K537,$L537),$Q537&gt;MAX($K537,$L537)),1,0),0)</f>
        <v>0</v>
      </c>
      <c r="AD537" s="186" t="n">
        <f aca="false">IF(AND(ISNUMBER($T537),$P537="高"),IF($T537=3,1,0),0)</f>
        <v>0</v>
      </c>
      <c r="AE537" s="186" t="n">
        <f aca="false">IF($S537="不存在",1,0)</f>
        <v>0</v>
      </c>
      <c r="AF537" s="35" t="str">
        <f aca="false">IF(OR($H537="—",$H537=""),"—",MATCH($H537,IDX_SrcID,0))</f>
        <v>—</v>
      </c>
      <c r="AG537" s="104" t="n">
        <f aca="false">IF(AND($P537="高",OR($AD537=1,$X537=1)),1,0)</f>
        <v>0</v>
      </c>
      <c r="AH537" s="104" t="n">
        <f aca="false">IF(AND($P537="高",$AG537=0,OR($F537&lt;&gt;"原始數據",$T537&lt;&gt;1)),1,0)</f>
        <v>0</v>
      </c>
      <c r="AI537" s="53" t="str">
        <f aca="false">IF(AND($P537="高",ISNUMBER($AF537)),INDEX(IDX_SrcDate,$AF537),"—")</f>
        <v>—</v>
      </c>
      <c r="AJ537" s="104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6" t="s">
        <v>4610</v>
      </c>
      <c r="B538" s="215" t="s">
        <v>4244</v>
      </c>
      <c r="C538" s="36" t="s">
        <v>4197</v>
      </c>
      <c r="D538" s="36" t="s">
        <v>4611</v>
      </c>
      <c r="E538" s="19" t="s">
        <v>926</v>
      </c>
      <c r="F538" s="36" t="s">
        <v>80</v>
      </c>
      <c r="G538" s="215" t="s">
        <v>3930</v>
      </c>
      <c r="H538" s="36" t="s">
        <v>587</v>
      </c>
      <c r="I538" s="6" t="s">
        <v>587</v>
      </c>
      <c r="J538" s="36" t="s">
        <v>587</v>
      </c>
      <c r="K538" s="215"/>
      <c r="L538" s="215"/>
      <c r="M538" s="215" t="s">
        <v>3102</v>
      </c>
      <c r="N538" s="19" t="s">
        <v>4612</v>
      </c>
      <c r="O538" s="6" t="s">
        <v>587</v>
      </c>
      <c r="P538" s="215" t="s">
        <v>1115</v>
      </c>
      <c r="Q538" s="185" t="s">
        <v>587</v>
      </c>
      <c r="R538" s="36" t="s">
        <v>587</v>
      </c>
      <c r="S538" s="35" t="str">
        <f aca="false">IF(ISNUMBER($AF538),INDEX(IDX_SrcStat,$AF538),"—")</f>
        <v>—</v>
      </c>
      <c r="T538" s="35" t="str">
        <f aca="false">IF(ISNUMBER($AF538),INDEX(IDX_SrcGrade,$AF538),"—")</f>
        <v>—</v>
      </c>
      <c r="U538" s="36" t="s">
        <v>587</v>
      </c>
      <c r="V538" s="186" t="n">
        <f aca="false">IF(AND($F538="原始數據",$U538&lt;&gt;"連結 SRC"),1,0)</f>
        <v>0</v>
      </c>
      <c r="W538" s="186" t="n">
        <f aca="false">IF(AND($F538="Analogy",OR($H538="—",$H538="")),1,0)</f>
        <v>0</v>
      </c>
      <c r="X538" s="186" t="n">
        <f aca="false">IF(AND(OR($F538="Analogy",$F538="Assumed"),$G538&lt;&gt;"低",$G538&lt;&gt;"高",NOT(ISNUMBER($K538)),NOT(ISNUMBER($L538)),OR($M538="—",$M538="")),1,0)</f>
        <v>0</v>
      </c>
      <c r="Y538" s="186" t="n">
        <f aca="false">IF(AND(OR($F538="Analogy",$F538="Assumed",$F538="Derived（待改公式）",$F538="Derived（公式）"),OR($N538="—",$N538="",$N538=0)),1,0)</f>
        <v>0</v>
      </c>
      <c r="Z538" s="186" t="n">
        <f aca="false">IF(AND($F538="Decision",OR($J538="—",$J538="")),1,0)</f>
        <v>0</v>
      </c>
      <c r="AA538" s="183" t="n">
        <f aca="false">IF(OR($J538="—",$J538=""),0,IF(COUNTIF(Decisions!$A$5:$A$300,$J538)=0,1,0))</f>
        <v>0</v>
      </c>
      <c r="AB538" s="186" t="n">
        <f aca="false">IF(AND($F538="原始數據",$S538&lt;&gt;"Active"),1,0)</f>
        <v>0</v>
      </c>
      <c r="AC538" s="186" t="n">
        <f aca="false">IF(AND(ISNUMBER($K538),ISNUMBER($L538),ISNUMBER($Q538)),IF(OR($Q538&lt;MIN($K538,$L538),$Q538&gt;MAX($K538,$L538)),1,0),0)</f>
        <v>0</v>
      </c>
      <c r="AD538" s="186" t="n">
        <f aca="false">IF(AND(ISNUMBER($T538),$P538="高"),IF($T538=3,1,0),0)</f>
        <v>0</v>
      </c>
      <c r="AE538" s="186" t="n">
        <f aca="false">IF($S538="不存在",1,0)</f>
        <v>0</v>
      </c>
      <c r="AF538" s="35" t="str">
        <f aca="false">IF(OR($H538="—",$H538=""),"—",MATCH($H538,IDX_SrcID,0))</f>
        <v>—</v>
      </c>
      <c r="AG538" s="104" t="n">
        <f aca="false">IF(AND($P538="高",OR($AD538=1,$X538=1)),1,0)</f>
        <v>0</v>
      </c>
      <c r="AH538" s="104" t="n">
        <f aca="false">IF(AND($P538="高",$AG538=0,OR($F538&lt;&gt;"原始數據",$T538&lt;&gt;1)),1,0)</f>
        <v>0</v>
      </c>
      <c r="AI538" s="53" t="str">
        <f aca="false">IF(AND($P538="高",ISNUMBER($AF538)),INDEX(IDX_SrcDate,$AF538),"—")</f>
        <v>—</v>
      </c>
      <c r="AJ538" s="104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6" t="s">
        <v>4613</v>
      </c>
      <c r="B539" s="215" t="s">
        <v>4244</v>
      </c>
      <c r="C539" s="36" t="s">
        <v>4197</v>
      </c>
      <c r="D539" s="36" t="s">
        <v>4614</v>
      </c>
      <c r="E539" s="6" t="s">
        <v>927</v>
      </c>
      <c r="F539" s="36" t="s">
        <v>80</v>
      </c>
      <c r="G539" s="215" t="s">
        <v>3930</v>
      </c>
      <c r="H539" s="36" t="s">
        <v>587</v>
      </c>
      <c r="I539" s="6" t="s">
        <v>587</v>
      </c>
      <c r="J539" s="36" t="s">
        <v>587</v>
      </c>
      <c r="K539" s="215"/>
      <c r="L539" s="215"/>
      <c r="M539" s="36" t="s">
        <v>4615</v>
      </c>
      <c r="N539" s="6" t="s">
        <v>927</v>
      </c>
      <c r="O539" s="6" t="s">
        <v>587</v>
      </c>
      <c r="P539" s="215" t="s">
        <v>1115</v>
      </c>
      <c r="Q539" s="185" t="s">
        <v>587</v>
      </c>
      <c r="R539" s="36" t="s">
        <v>587</v>
      </c>
      <c r="S539" s="35" t="str">
        <f aca="false">IF(ISNUMBER($AF539),INDEX(IDX_SrcStat,$AF539),"—")</f>
        <v>—</v>
      </c>
      <c r="T539" s="35" t="str">
        <f aca="false">IF(ISNUMBER($AF539),INDEX(IDX_SrcGrade,$AF539),"—")</f>
        <v>—</v>
      </c>
      <c r="U539" s="36" t="s">
        <v>587</v>
      </c>
      <c r="V539" s="186" t="n">
        <f aca="false">IF(AND($F539="原始數據",$U539&lt;&gt;"連結 SRC"),1,0)</f>
        <v>0</v>
      </c>
      <c r="W539" s="186" t="n">
        <f aca="false">IF(AND($F539="Analogy",OR($H539="—",$H539="")),1,0)</f>
        <v>0</v>
      </c>
      <c r="X539" s="186" t="n">
        <f aca="false">IF(AND(OR($F539="Analogy",$F539="Assumed"),$G539&lt;&gt;"低",$G539&lt;&gt;"高",NOT(ISNUMBER($K539)),NOT(ISNUMBER($L539)),OR($M539="—",$M539="")),1,0)</f>
        <v>0</v>
      </c>
      <c r="Y539" s="186" t="n">
        <f aca="false">IF(AND(OR($F539="Analogy",$F539="Assumed",$F539="Derived（待改公式）",$F539="Derived（公式）"),OR($N539="—",$N539="",$N539=0)),1,0)</f>
        <v>0</v>
      </c>
      <c r="Z539" s="186" t="n">
        <f aca="false">IF(AND($F539="Decision",OR($J539="—",$J539="")),1,0)</f>
        <v>0</v>
      </c>
      <c r="AA539" s="183" t="n">
        <f aca="false">IF(OR($J539="—",$J539=""),0,IF(COUNTIF(Decisions!$A$5:$A$300,$J539)=0,1,0))</f>
        <v>0</v>
      </c>
      <c r="AB539" s="186" t="n">
        <f aca="false">IF(AND($F539="原始數據",$S539&lt;&gt;"Active"),1,0)</f>
        <v>0</v>
      </c>
      <c r="AC539" s="186" t="n">
        <f aca="false">IF(AND(ISNUMBER($K539),ISNUMBER($L539),ISNUMBER($Q539)),IF(OR($Q539&lt;MIN($K539,$L539),$Q539&gt;MAX($K539,$L539)),1,0),0)</f>
        <v>0</v>
      </c>
      <c r="AD539" s="186" t="n">
        <f aca="false">IF(AND(ISNUMBER($T539),$P539="高"),IF($T539=3,1,0),0)</f>
        <v>0</v>
      </c>
      <c r="AE539" s="186" t="n">
        <f aca="false">IF($S539="不存在",1,0)</f>
        <v>0</v>
      </c>
      <c r="AF539" s="35" t="str">
        <f aca="false">IF(OR($H539="—",$H539=""),"—",MATCH($H539,IDX_SrcID,0))</f>
        <v>—</v>
      </c>
      <c r="AG539" s="104" t="n">
        <f aca="false">IF(AND($P539="高",OR($AD539=1,$X539=1)),1,0)</f>
        <v>0</v>
      </c>
      <c r="AH539" s="104" t="n">
        <f aca="false">IF(AND($P539="高",$AG539=0,OR($F539&lt;&gt;"原始數據",$T539&lt;&gt;1)),1,0)</f>
        <v>0</v>
      </c>
      <c r="AI539" s="53" t="str">
        <f aca="false">IF(AND($P539="高",ISNUMBER($AF539)),INDEX(IDX_SrcDate,$AF539),"—")</f>
        <v>—</v>
      </c>
      <c r="AJ539" s="104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6" t="s">
        <v>4616</v>
      </c>
      <c r="B540" s="215" t="s">
        <v>4244</v>
      </c>
      <c r="C540" s="36" t="s">
        <v>4197</v>
      </c>
      <c r="D540" s="36" t="s">
        <v>4617</v>
      </c>
      <c r="E540" s="6" t="s">
        <v>929</v>
      </c>
      <c r="F540" s="36" t="s">
        <v>80</v>
      </c>
      <c r="G540" s="215" t="s">
        <v>3930</v>
      </c>
      <c r="H540" s="36" t="s">
        <v>587</v>
      </c>
      <c r="I540" s="6" t="s">
        <v>587</v>
      </c>
      <c r="J540" s="36" t="s">
        <v>587</v>
      </c>
      <c r="K540" s="215"/>
      <c r="L540" s="215"/>
      <c r="M540" s="215" t="s">
        <v>3102</v>
      </c>
      <c r="N540" s="6" t="s">
        <v>4618</v>
      </c>
      <c r="O540" s="6" t="s">
        <v>587</v>
      </c>
      <c r="P540" s="215" t="s">
        <v>1115</v>
      </c>
      <c r="Q540" s="185" t="s">
        <v>587</v>
      </c>
      <c r="R540" s="36" t="s">
        <v>587</v>
      </c>
      <c r="S540" s="35" t="str">
        <f aca="false">IF(ISNUMBER($AF540),INDEX(IDX_SrcStat,$AF540),"—")</f>
        <v>—</v>
      </c>
      <c r="T540" s="35" t="str">
        <f aca="false">IF(ISNUMBER($AF540),INDEX(IDX_SrcGrade,$AF540),"—")</f>
        <v>—</v>
      </c>
      <c r="U540" s="36" t="s">
        <v>587</v>
      </c>
      <c r="V540" s="186" t="n">
        <f aca="false">IF(AND($F540="原始數據",$U540&lt;&gt;"連結 SRC"),1,0)</f>
        <v>0</v>
      </c>
      <c r="W540" s="186" t="n">
        <f aca="false">IF(AND($F540="Analogy",OR($H540="—",$H540="")),1,0)</f>
        <v>0</v>
      </c>
      <c r="X540" s="186" t="n">
        <f aca="false">IF(AND(OR($F540="Analogy",$F540="Assumed"),$G540&lt;&gt;"低",$G540&lt;&gt;"高",NOT(ISNUMBER($K540)),NOT(ISNUMBER($L540)),OR($M540="—",$M540="")),1,0)</f>
        <v>0</v>
      </c>
      <c r="Y540" s="186" t="n">
        <f aca="false">IF(AND(OR($F540="Analogy",$F540="Assumed",$F540="Derived（待改公式）",$F540="Derived（公式）"),OR($N540="—",$N540="",$N540=0)),1,0)</f>
        <v>0</v>
      </c>
      <c r="Z540" s="186" t="n">
        <f aca="false">IF(AND($F540="Decision",OR($J540="—",$J540="")),1,0)</f>
        <v>0</v>
      </c>
      <c r="AA540" s="183" t="n">
        <f aca="false">IF(OR($J540="—",$J540=""),0,IF(COUNTIF(Decisions!$A$5:$A$300,$J540)=0,1,0))</f>
        <v>0</v>
      </c>
      <c r="AB540" s="186" t="n">
        <f aca="false">IF(AND($F540="原始數據",$S540&lt;&gt;"Active"),1,0)</f>
        <v>0</v>
      </c>
      <c r="AC540" s="186" t="n">
        <f aca="false">IF(AND(ISNUMBER($K540),ISNUMBER($L540),ISNUMBER($Q540)),IF(OR($Q540&lt;MIN($K540,$L540),$Q540&gt;MAX($K540,$L540)),1,0),0)</f>
        <v>0</v>
      </c>
      <c r="AD540" s="186" t="n">
        <f aca="false">IF(AND(ISNUMBER($T540),$P540="高"),IF($T540=3,1,0),0)</f>
        <v>0</v>
      </c>
      <c r="AE540" s="186" t="n">
        <f aca="false">IF($S540="不存在",1,0)</f>
        <v>0</v>
      </c>
      <c r="AF540" s="35" t="str">
        <f aca="false">IF(OR($H540="—",$H540=""),"—",MATCH($H540,IDX_SrcID,0))</f>
        <v>—</v>
      </c>
      <c r="AG540" s="104" t="n">
        <f aca="false">IF(AND($P540="高",OR($AD540=1,$X540=1)),1,0)</f>
        <v>0</v>
      </c>
      <c r="AH540" s="104" t="n">
        <f aca="false">IF(AND($P540="高",$AG540=0,OR($F540&lt;&gt;"原始數據",$T540&lt;&gt;1)),1,0)</f>
        <v>0</v>
      </c>
      <c r="AI540" s="53" t="str">
        <f aca="false">IF(AND($P540="高",ISNUMBER($AF540)),INDEX(IDX_SrcDate,$AF540),"—")</f>
        <v>—</v>
      </c>
      <c r="AJ540" s="104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6" t="s">
        <v>4619</v>
      </c>
      <c r="B541" s="215" t="s">
        <v>4244</v>
      </c>
      <c r="C541" s="36" t="s">
        <v>4197</v>
      </c>
      <c r="D541" s="36" t="s">
        <v>4301</v>
      </c>
      <c r="E541" s="19" t="s">
        <v>4620</v>
      </c>
      <c r="F541" s="36" t="s">
        <v>80</v>
      </c>
      <c r="G541" s="215" t="s">
        <v>3930</v>
      </c>
      <c r="H541" s="36" t="s">
        <v>587</v>
      </c>
      <c r="I541" s="6" t="s">
        <v>587</v>
      </c>
      <c r="J541" s="36" t="s">
        <v>587</v>
      </c>
      <c r="K541" s="215"/>
      <c r="L541" s="215"/>
      <c r="M541" s="36" t="s">
        <v>4621</v>
      </c>
      <c r="N541" s="19" t="s">
        <v>4622</v>
      </c>
      <c r="O541" s="6" t="s">
        <v>587</v>
      </c>
      <c r="P541" s="215" t="s">
        <v>1115</v>
      </c>
      <c r="Q541" s="185" t="s">
        <v>587</v>
      </c>
      <c r="R541" s="36" t="s">
        <v>587</v>
      </c>
      <c r="S541" s="35" t="str">
        <f aca="false">IF(ISNUMBER($AF541),INDEX(IDX_SrcStat,$AF541),"—")</f>
        <v>—</v>
      </c>
      <c r="T541" s="35" t="str">
        <f aca="false">IF(ISNUMBER($AF541),INDEX(IDX_SrcGrade,$AF541),"—")</f>
        <v>—</v>
      </c>
      <c r="U541" s="36" t="s">
        <v>587</v>
      </c>
      <c r="V541" s="186" t="n">
        <f aca="false">IF(AND($F541="原始數據",$U541&lt;&gt;"連結 SRC"),1,0)</f>
        <v>0</v>
      </c>
      <c r="W541" s="186" t="n">
        <f aca="false">IF(AND($F541="Analogy",OR($H541="—",$H541="")),1,0)</f>
        <v>0</v>
      </c>
      <c r="X541" s="186" t="n">
        <f aca="false">IF(AND(OR($F541="Analogy",$F541="Assumed"),$G541&lt;&gt;"低",$G541&lt;&gt;"高",NOT(ISNUMBER($K541)),NOT(ISNUMBER($L541)),OR($M541="—",$M541="")),1,0)</f>
        <v>0</v>
      </c>
      <c r="Y541" s="186" t="n">
        <f aca="false">IF(AND(OR($F541="Analogy",$F541="Assumed",$F541="Derived（待改公式）",$F541="Derived（公式）"),OR($N541="—",$N541="",$N541=0)),1,0)</f>
        <v>0</v>
      </c>
      <c r="Z541" s="186" t="n">
        <f aca="false">IF(AND($F541="Decision",OR($J541="—",$J541="")),1,0)</f>
        <v>0</v>
      </c>
      <c r="AA541" s="183" t="n">
        <f aca="false">IF(OR($J541="—",$J541=""),0,IF(COUNTIF(Decisions!$A$5:$A$300,$J541)=0,1,0))</f>
        <v>0</v>
      </c>
      <c r="AB541" s="186" t="n">
        <f aca="false">IF(AND($F541="原始數據",$S541&lt;&gt;"Active"),1,0)</f>
        <v>0</v>
      </c>
      <c r="AC541" s="186" t="n">
        <f aca="false">IF(AND(ISNUMBER($K541),ISNUMBER($L541),ISNUMBER($Q541)),IF(OR($Q541&lt;MIN($K541,$L541),$Q541&gt;MAX($K541,$L541)),1,0),0)</f>
        <v>0</v>
      </c>
      <c r="AD541" s="186" t="n">
        <f aca="false">IF(AND(ISNUMBER($T541),$P541="高"),IF($T541=3,1,0),0)</f>
        <v>0</v>
      </c>
      <c r="AE541" s="186" t="n">
        <f aca="false">IF($S541="不存在",1,0)</f>
        <v>0</v>
      </c>
      <c r="AF541" s="35" t="str">
        <f aca="false">IF(OR($H541="—",$H541=""),"—",MATCH($H541,IDX_SrcID,0))</f>
        <v>—</v>
      </c>
      <c r="AG541" s="104" t="n">
        <f aca="false">IF(AND($P541="高",OR($AD541=1,$X541=1)),1,0)</f>
        <v>0</v>
      </c>
      <c r="AH541" s="104" t="n">
        <f aca="false">IF(AND($P541="高",$AG541=0,OR($F541&lt;&gt;"原始數據",$T541&lt;&gt;1)),1,0)</f>
        <v>0</v>
      </c>
      <c r="AI541" s="53" t="str">
        <f aca="false">IF(AND($P541="高",ISNUMBER($AF541)),INDEX(IDX_SrcDate,$AF541),"—")</f>
        <v>—</v>
      </c>
      <c r="AJ541" s="104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6" t="s">
        <v>4623</v>
      </c>
      <c r="B542" s="215" t="s">
        <v>4244</v>
      </c>
      <c r="C542" s="36" t="s">
        <v>4197</v>
      </c>
      <c r="D542" s="36" t="s">
        <v>4306</v>
      </c>
      <c r="E542" s="6" t="s">
        <v>932</v>
      </c>
      <c r="F542" s="36" t="s">
        <v>80</v>
      </c>
      <c r="G542" s="215" t="s">
        <v>3930</v>
      </c>
      <c r="H542" s="36" t="s">
        <v>587</v>
      </c>
      <c r="I542" s="6" t="s">
        <v>587</v>
      </c>
      <c r="J542" s="36" t="s">
        <v>587</v>
      </c>
      <c r="K542" s="215"/>
      <c r="L542" s="215"/>
      <c r="M542" s="215" t="s">
        <v>4624</v>
      </c>
      <c r="N542" s="6" t="s">
        <v>932</v>
      </c>
      <c r="O542" s="6" t="s">
        <v>587</v>
      </c>
      <c r="P542" s="215" t="s">
        <v>3244</v>
      </c>
      <c r="Q542" s="185" t="s">
        <v>587</v>
      </c>
      <c r="R542" s="36" t="s">
        <v>587</v>
      </c>
      <c r="S542" s="35" t="str">
        <f aca="false">IF(ISNUMBER($AF542),INDEX(IDX_SrcStat,$AF542),"—")</f>
        <v>—</v>
      </c>
      <c r="T542" s="35" t="str">
        <f aca="false">IF(ISNUMBER($AF542),INDEX(IDX_SrcGrade,$AF542),"—")</f>
        <v>—</v>
      </c>
      <c r="U542" s="36" t="s">
        <v>587</v>
      </c>
      <c r="V542" s="186" t="n">
        <f aca="false">IF(AND($F542="原始數據",$U542&lt;&gt;"連結 SRC"),1,0)</f>
        <v>0</v>
      </c>
      <c r="W542" s="186" t="n">
        <f aca="false">IF(AND($F542="Analogy",OR($H542="—",$H542="")),1,0)</f>
        <v>0</v>
      </c>
      <c r="X542" s="186" t="n">
        <f aca="false">IF(AND(OR($F542="Analogy",$F542="Assumed"),$G542&lt;&gt;"低",$G542&lt;&gt;"高",NOT(ISNUMBER($K542)),NOT(ISNUMBER($L542)),OR($M542="—",$M542="")),1,0)</f>
        <v>0</v>
      </c>
      <c r="Y542" s="186" t="n">
        <f aca="false">IF(AND(OR($F542="Analogy",$F542="Assumed",$F542="Derived（待改公式）",$F542="Derived（公式）"),OR($N542="—",$N542="",$N542=0)),1,0)</f>
        <v>0</v>
      </c>
      <c r="Z542" s="186" t="n">
        <f aca="false">IF(AND($F542="Decision",OR($J542="—",$J542="")),1,0)</f>
        <v>0</v>
      </c>
      <c r="AA542" s="183" t="n">
        <f aca="false">IF(OR($J542="—",$J542=""),0,IF(COUNTIF(Decisions!$A$5:$A$300,$J542)=0,1,0))</f>
        <v>0</v>
      </c>
      <c r="AB542" s="186" t="n">
        <f aca="false">IF(AND($F542="原始數據",$S542&lt;&gt;"Active"),1,0)</f>
        <v>0</v>
      </c>
      <c r="AC542" s="186" t="n">
        <f aca="false">IF(AND(ISNUMBER($K542),ISNUMBER($L542),ISNUMBER($Q542)),IF(OR($Q542&lt;MIN($K542,$L542),$Q542&gt;MAX($K542,$L542)),1,0),0)</f>
        <v>0</v>
      </c>
      <c r="AD542" s="186" t="n">
        <f aca="false">IF(AND(ISNUMBER($T542),$P542="高"),IF($T542=3,1,0),0)</f>
        <v>0</v>
      </c>
      <c r="AE542" s="186" t="n">
        <f aca="false">IF($S542="不存在",1,0)</f>
        <v>0</v>
      </c>
      <c r="AF542" s="35" t="str">
        <f aca="false">IF(OR($H542="—",$H542=""),"—",MATCH($H542,IDX_SrcID,0))</f>
        <v>—</v>
      </c>
      <c r="AG542" s="104" t="n">
        <f aca="false">IF(AND($P542="高",OR($AD542=1,$X542=1)),1,0)</f>
        <v>0</v>
      </c>
      <c r="AH542" s="104" t="n">
        <f aca="false">IF(AND($P542="高",$AG542=0,OR($F542&lt;&gt;"原始數據",$T542&lt;&gt;1)),1,0)</f>
        <v>0</v>
      </c>
      <c r="AI542" s="53" t="str">
        <f aca="false">IF(AND($P542="高",ISNUMBER($AF542)),INDEX(IDX_SrcDate,$AF542),"—")</f>
        <v>—</v>
      </c>
      <c r="AJ542" s="104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6" t="s">
        <v>4625</v>
      </c>
      <c r="B543" s="215" t="s">
        <v>4244</v>
      </c>
      <c r="C543" s="36" t="s">
        <v>4197</v>
      </c>
      <c r="D543" s="36" t="s">
        <v>4626</v>
      </c>
      <c r="E543" s="6" t="s">
        <v>933</v>
      </c>
      <c r="F543" s="36" t="s">
        <v>80</v>
      </c>
      <c r="G543" s="215" t="s">
        <v>3930</v>
      </c>
      <c r="H543" s="36" t="s">
        <v>587</v>
      </c>
      <c r="I543" s="6" t="s">
        <v>587</v>
      </c>
      <c r="J543" s="36" t="s">
        <v>587</v>
      </c>
      <c r="K543" s="215"/>
      <c r="L543" s="215"/>
      <c r="M543" s="215" t="s">
        <v>4624</v>
      </c>
      <c r="N543" s="6" t="s">
        <v>933</v>
      </c>
      <c r="O543" s="6" t="s">
        <v>587</v>
      </c>
      <c r="P543" s="215" t="s">
        <v>3244</v>
      </c>
      <c r="Q543" s="185" t="s">
        <v>587</v>
      </c>
      <c r="R543" s="36" t="s">
        <v>587</v>
      </c>
      <c r="S543" s="35" t="str">
        <f aca="false">IF(ISNUMBER($AF543),INDEX(IDX_SrcStat,$AF543),"—")</f>
        <v>—</v>
      </c>
      <c r="T543" s="35" t="str">
        <f aca="false">IF(ISNUMBER($AF543),INDEX(IDX_SrcGrade,$AF543),"—")</f>
        <v>—</v>
      </c>
      <c r="U543" s="36" t="s">
        <v>587</v>
      </c>
      <c r="V543" s="186" t="n">
        <f aca="false">IF(AND($F543="原始數據",$U543&lt;&gt;"連結 SRC"),1,0)</f>
        <v>0</v>
      </c>
      <c r="W543" s="186" t="n">
        <f aca="false">IF(AND($F543="Analogy",OR($H543="—",$H543="")),1,0)</f>
        <v>0</v>
      </c>
      <c r="X543" s="186" t="n">
        <f aca="false">IF(AND(OR($F543="Analogy",$F543="Assumed"),$G543&lt;&gt;"低",$G543&lt;&gt;"高",NOT(ISNUMBER($K543)),NOT(ISNUMBER($L543)),OR($M543="—",$M543="")),1,0)</f>
        <v>0</v>
      </c>
      <c r="Y543" s="186" t="n">
        <f aca="false">IF(AND(OR($F543="Analogy",$F543="Assumed",$F543="Derived（待改公式）",$F543="Derived（公式）"),OR($N543="—",$N543="",$N543=0)),1,0)</f>
        <v>0</v>
      </c>
      <c r="Z543" s="186" t="n">
        <f aca="false">IF(AND($F543="Decision",OR($J543="—",$J543="")),1,0)</f>
        <v>0</v>
      </c>
      <c r="AA543" s="183" t="n">
        <f aca="false">IF(OR($J543="—",$J543=""),0,IF(COUNTIF(Decisions!$A$5:$A$300,$J543)=0,1,0))</f>
        <v>0</v>
      </c>
      <c r="AB543" s="186" t="n">
        <f aca="false">IF(AND($F543="原始數據",$S543&lt;&gt;"Active"),1,0)</f>
        <v>0</v>
      </c>
      <c r="AC543" s="186" t="n">
        <f aca="false">IF(AND(ISNUMBER($K543),ISNUMBER($L543),ISNUMBER($Q543)),IF(OR($Q543&lt;MIN($K543,$L543),$Q543&gt;MAX($K543,$L543)),1,0),0)</f>
        <v>0</v>
      </c>
      <c r="AD543" s="186" t="n">
        <f aca="false">IF(AND(ISNUMBER($T543),$P543="高"),IF($T543=3,1,0),0)</f>
        <v>0</v>
      </c>
      <c r="AE543" s="186" t="n">
        <f aca="false">IF($S543="不存在",1,0)</f>
        <v>0</v>
      </c>
      <c r="AF543" s="35" t="str">
        <f aca="false">IF(OR($H543="—",$H543=""),"—",MATCH($H543,IDX_SrcID,0))</f>
        <v>—</v>
      </c>
      <c r="AG543" s="104" t="n">
        <f aca="false">IF(AND($P543="高",OR($AD543=1,$X543=1)),1,0)</f>
        <v>0</v>
      </c>
      <c r="AH543" s="104" t="n">
        <f aca="false">IF(AND($P543="高",$AG543=0,OR($F543&lt;&gt;"原始數據",$T543&lt;&gt;1)),1,0)</f>
        <v>0</v>
      </c>
      <c r="AI543" s="53" t="str">
        <f aca="false">IF(AND($P543="高",ISNUMBER($AF543)),INDEX(IDX_SrcDate,$AF543),"—")</f>
        <v>—</v>
      </c>
      <c r="AJ543" s="104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6" t="s">
        <v>4627</v>
      </c>
      <c r="B544" s="215" t="s">
        <v>4244</v>
      </c>
      <c r="C544" s="36" t="s">
        <v>4197</v>
      </c>
      <c r="D544" s="36" t="s">
        <v>4628</v>
      </c>
      <c r="E544" s="6" t="s">
        <v>935</v>
      </c>
      <c r="F544" s="36" t="s">
        <v>80</v>
      </c>
      <c r="G544" s="215" t="s">
        <v>3930</v>
      </c>
      <c r="H544" s="36" t="s">
        <v>587</v>
      </c>
      <c r="I544" s="6" t="s">
        <v>587</v>
      </c>
      <c r="J544" s="36" t="s">
        <v>4629</v>
      </c>
      <c r="K544" s="215"/>
      <c r="L544" s="215"/>
      <c r="M544" s="36" t="s">
        <v>4630</v>
      </c>
      <c r="N544" s="6" t="s">
        <v>4631</v>
      </c>
      <c r="O544" s="6" t="s">
        <v>587</v>
      </c>
      <c r="P544" s="215" t="s">
        <v>1116</v>
      </c>
      <c r="Q544" s="185" t="s">
        <v>587</v>
      </c>
      <c r="R544" s="36" t="s">
        <v>587</v>
      </c>
      <c r="S544" s="35" t="str">
        <f aca="false">IF(ISNUMBER($AF544),INDEX(IDX_SrcStat,$AF544),"—")</f>
        <v>—</v>
      </c>
      <c r="T544" s="35" t="str">
        <f aca="false">IF(ISNUMBER($AF544),INDEX(IDX_SrcGrade,$AF544),"—")</f>
        <v>—</v>
      </c>
      <c r="U544" s="36" t="s">
        <v>587</v>
      </c>
      <c r="V544" s="186" t="n">
        <f aca="false">IF(AND($F544="原始數據",$U544&lt;&gt;"連結 SRC"),1,0)</f>
        <v>0</v>
      </c>
      <c r="W544" s="186" t="n">
        <f aca="false">IF(AND($F544="Analogy",OR($H544="—",$H544="")),1,0)</f>
        <v>0</v>
      </c>
      <c r="X544" s="186" t="n">
        <f aca="false">IF(AND(OR($F544="Analogy",$F544="Assumed"),$G544&lt;&gt;"低",$G544&lt;&gt;"高",NOT(ISNUMBER($K544)),NOT(ISNUMBER($L544)),OR($M544="—",$M544="")),1,0)</f>
        <v>0</v>
      </c>
      <c r="Y544" s="186" t="n">
        <f aca="false">IF(AND(OR($F544="Analogy",$F544="Assumed",$F544="Derived（待改公式）",$F544="Derived（公式）"),OR($N544="—",$N544="",$N544=0)),1,0)</f>
        <v>0</v>
      </c>
      <c r="Z544" s="186" t="n">
        <f aca="false">IF(AND($F544="Decision",OR($J544="—",$J544="")),1,0)</f>
        <v>0</v>
      </c>
      <c r="AA544" s="183" t="n">
        <f aca="false">IF(OR($J544="—",$J544=""),0,IF(COUNTIF(Decisions!$A$5:$A$300,$J544)=0,1,0))</f>
        <v>0</v>
      </c>
      <c r="AB544" s="186" t="n">
        <f aca="false">IF(AND($F544="原始數據",$S544&lt;&gt;"Active"),1,0)</f>
        <v>0</v>
      </c>
      <c r="AC544" s="186" t="n">
        <f aca="false">IF(AND(ISNUMBER($K544),ISNUMBER($L544),ISNUMBER($Q544)),IF(OR($Q544&lt;MIN($K544,$L544),$Q544&gt;MAX($K544,$L544)),1,0),0)</f>
        <v>0</v>
      </c>
      <c r="AD544" s="186" t="n">
        <f aca="false">IF(AND(ISNUMBER($T544),$P544="高"),IF($T544=3,1,0),0)</f>
        <v>0</v>
      </c>
      <c r="AE544" s="186" t="n">
        <f aca="false">IF($S544="不存在",1,0)</f>
        <v>0</v>
      </c>
      <c r="AF544" s="35" t="str">
        <f aca="false">IF(OR($H544="—",$H544=""),"—",MATCH($H544,IDX_SrcID,0))</f>
        <v>—</v>
      </c>
      <c r="AG544" s="104" t="n">
        <f aca="false">IF(AND($P544="高",OR($AD544=1,$X544=1)),1,0)</f>
        <v>0</v>
      </c>
      <c r="AH544" s="104" t="n">
        <f aca="false">IF(AND($P544="高",$AG544=0,OR($F544&lt;&gt;"原始數據",$T544&lt;&gt;1)),1,0)</f>
        <v>1</v>
      </c>
      <c r="AI544" s="53" t="str">
        <f aca="false">IF(AND($P544="高",ISNUMBER($AF544)),INDEX(IDX_SrcDate,$AF544),"—")</f>
        <v>—</v>
      </c>
      <c r="AJ544" s="104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6" t="s">
        <v>4632</v>
      </c>
      <c r="B545" s="215" t="s">
        <v>4244</v>
      </c>
      <c r="C545" s="36" t="s">
        <v>4197</v>
      </c>
      <c r="D545" s="36" t="s">
        <v>4633</v>
      </c>
      <c r="E545" s="6" t="s">
        <v>937</v>
      </c>
      <c r="F545" s="36" t="s">
        <v>80</v>
      </c>
      <c r="G545" s="215" t="s">
        <v>3930</v>
      </c>
      <c r="H545" s="36" t="s">
        <v>587</v>
      </c>
      <c r="I545" s="6" t="s">
        <v>587</v>
      </c>
      <c r="J545" s="36" t="s">
        <v>587</v>
      </c>
      <c r="K545" s="215"/>
      <c r="L545" s="215"/>
      <c r="M545" s="36" t="s">
        <v>4634</v>
      </c>
      <c r="N545" s="6" t="s">
        <v>4635</v>
      </c>
      <c r="O545" s="6" t="s">
        <v>587</v>
      </c>
      <c r="P545" s="215" t="s">
        <v>1115</v>
      </c>
      <c r="Q545" s="185" t="s">
        <v>587</v>
      </c>
      <c r="R545" s="36" t="s">
        <v>587</v>
      </c>
      <c r="S545" s="35" t="str">
        <f aca="false">IF(ISNUMBER($AF545),INDEX(IDX_SrcStat,$AF545),"—")</f>
        <v>—</v>
      </c>
      <c r="T545" s="35" t="str">
        <f aca="false">IF(ISNUMBER($AF545),INDEX(IDX_SrcGrade,$AF545),"—")</f>
        <v>—</v>
      </c>
      <c r="U545" s="36" t="s">
        <v>587</v>
      </c>
      <c r="V545" s="186" t="n">
        <f aca="false">IF(AND($F545="原始數據",$U545&lt;&gt;"連結 SRC"),1,0)</f>
        <v>0</v>
      </c>
      <c r="W545" s="186" t="n">
        <f aca="false">IF(AND($F545="Analogy",OR($H545="—",$H545="")),1,0)</f>
        <v>0</v>
      </c>
      <c r="X545" s="186" t="n">
        <f aca="false">IF(AND(OR($F545="Analogy",$F545="Assumed"),$G545&lt;&gt;"低",$G545&lt;&gt;"高",NOT(ISNUMBER($K545)),NOT(ISNUMBER($L545)),OR($M545="—",$M545="")),1,0)</f>
        <v>0</v>
      </c>
      <c r="Y545" s="186" t="n">
        <f aca="false">IF(AND(OR($F545="Analogy",$F545="Assumed",$F545="Derived（待改公式）",$F545="Derived（公式）"),OR($N545="—",$N545="",$N545=0)),1,0)</f>
        <v>0</v>
      </c>
      <c r="Z545" s="186" t="n">
        <f aca="false">IF(AND($F545="Decision",OR($J545="—",$J545="")),1,0)</f>
        <v>0</v>
      </c>
      <c r="AA545" s="183" t="n">
        <f aca="false">IF(OR($J545="—",$J545=""),0,IF(COUNTIF(Decisions!$A$5:$A$300,$J545)=0,1,0))</f>
        <v>0</v>
      </c>
      <c r="AB545" s="186" t="n">
        <f aca="false">IF(AND($F545="原始數據",$S545&lt;&gt;"Active"),1,0)</f>
        <v>0</v>
      </c>
      <c r="AC545" s="186" t="n">
        <f aca="false">IF(AND(ISNUMBER($K545),ISNUMBER($L545),ISNUMBER($Q545)),IF(OR($Q545&lt;MIN($K545,$L545),$Q545&gt;MAX($K545,$L545)),1,0),0)</f>
        <v>0</v>
      </c>
      <c r="AD545" s="186" t="n">
        <f aca="false">IF(AND(ISNUMBER($T545),$P545="高"),IF($T545=3,1,0),0)</f>
        <v>0</v>
      </c>
      <c r="AE545" s="186" t="n">
        <f aca="false">IF($S545="不存在",1,0)</f>
        <v>0</v>
      </c>
      <c r="AF545" s="35" t="str">
        <f aca="false">IF(OR($H545="—",$H545=""),"—",MATCH($H545,IDX_SrcID,0))</f>
        <v>—</v>
      </c>
      <c r="AG545" s="104" t="n">
        <f aca="false">IF(AND($P545="高",OR($AD545=1,$X545=1)),1,0)</f>
        <v>0</v>
      </c>
      <c r="AH545" s="104" t="n">
        <f aca="false">IF(AND($P545="高",$AG545=0,OR($F545&lt;&gt;"原始數據",$T545&lt;&gt;1)),1,0)</f>
        <v>0</v>
      </c>
      <c r="AI545" s="53" t="str">
        <f aca="false">IF(AND($P545="高",ISNUMBER($AF545)),INDEX(IDX_SrcDate,$AF545),"—")</f>
        <v>—</v>
      </c>
      <c r="AJ545" s="104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6" t="s">
        <v>4636</v>
      </c>
      <c r="B546" s="215" t="s">
        <v>4244</v>
      </c>
      <c r="C546" s="36" t="s">
        <v>4197</v>
      </c>
      <c r="D546" s="36" t="s">
        <v>4637</v>
      </c>
      <c r="E546" s="19" t="s">
        <v>4638</v>
      </c>
      <c r="F546" s="36" t="s">
        <v>80</v>
      </c>
      <c r="G546" s="215" t="s">
        <v>3930</v>
      </c>
      <c r="H546" s="36" t="s">
        <v>587</v>
      </c>
      <c r="I546" s="6" t="s">
        <v>587</v>
      </c>
      <c r="J546" s="36" t="s">
        <v>587</v>
      </c>
      <c r="K546" s="215"/>
      <c r="L546" s="215"/>
      <c r="M546" s="215" t="s">
        <v>3102</v>
      </c>
      <c r="N546" s="19" t="s">
        <v>4639</v>
      </c>
      <c r="O546" s="6" t="s">
        <v>4640</v>
      </c>
      <c r="P546" s="215" t="s">
        <v>3188</v>
      </c>
      <c r="Q546" s="185" t="s">
        <v>587</v>
      </c>
      <c r="R546" s="36" t="s">
        <v>587</v>
      </c>
      <c r="S546" s="35" t="str">
        <f aca="false">IF(ISNUMBER($AF546),INDEX(IDX_SrcStat,$AF546),"—")</f>
        <v>—</v>
      </c>
      <c r="T546" s="35" t="str">
        <f aca="false">IF(ISNUMBER($AF546),INDEX(IDX_SrcGrade,$AF546),"—")</f>
        <v>—</v>
      </c>
      <c r="U546" s="36" t="s">
        <v>587</v>
      </c>
      <c r="V546" s="186" t="n">
        <f aca="false">IF(AND($F546="原始數據",$U546&lt;&gt;"連結 SRC"),1,0)</f>
        <v>0</v>
      </c>
      <c r="W546" s="186" t="n">
        <f aca="false">IF(AND($F546="Analogy",OR($H546="—",$H546="")),1,0)</f>
        <v>0</v>
      </c>
      <c r="X546" s="186" t="n">
        <f aca="false">IF(AND(OR($F546="Analogy",$F546="Assumed"),$G546&lt;&gt;"低",$G546&lt;&gt;"高",NOT(ISNUMBER($K546)),NOT(ISNUMBER($L546)),OR($M546="—",$M546="")),1,0)</f>
        <v>0</v>
      </c>
      <c r="Y546" s="186" t="n">
        <f aca="false">IF(AND(OR($F546="Analogy",$F546="Assumed",$F546="Derived（待改公式）",$F546="Derived（公式）"),OR($N546="—",$N546="",$N546=0)),1,0)</f>
        <v>0</v>
      </c>
      <c r="Z546" s="186" t="n">
        <f aca="false">IF(AND($F546="Decision",OR($J546="—",$J546="")),1,0)</f>
        <v>0</v>
      </c>
      <c r="AA546" s="183" t="n">
        <f aca="false">IF(OR($J546="—",$J546=""),0,IF(COUNTIF(Decisions!$A$5:$A$300,$J546)=0,1,0))</f>
        <v>0</v>
      </c>
      <c r="AB546" s="186" t="n">
        <f aca="false">IF(AND($F546="原始數據",$S546&lt;&gt;"Active"),1,0)</f>
        <v>0</v>
      </c>
      <c r="AC546" s="186" t="n">
        <f aca="false">IF(AND(ISNUMBER($K546),ISNUMBER($L546),ISNUMBER($Q546)),IF(OR($Q546&lt;MIN($K546,$L546),$Q546&gt;MAX($K546,$L546)),1,0),0)</f>
        <v>0</v>
      </c>
      <c r="AD546" s="186" t="n">
        <f aca="false">IF(AND(ISNUMBER($T546),$P546="高"),IF($T546=3,1,0),0)</f>
        <v>0</v>
      </c>
      <c r="AE546" s="186" t="n">
        <f aca="false">IF($S546="不存在",1,0)</f>
        <v>0</v>
      </c>
      <c r="AF546" s="35" t="str">
        <f aca="false">IF(OR($H546="—",$H546=""),"—",MATCH($H546,IDX_SrcID,0))</f>
        <v>—</v>
      </c>
      <c r="AG546" s="104" t="n">
        <f aca="false">IF(AND($P546="高",OR($AD546=1,$X546=1)),1,0)</f>
        <v>0</v>
      </c>
      <c r="AH546" s="104" t="n">
        <f aca="false">IF(AND($P546="高",$AG546=0,OR($F546&lt;&gt;"原始數據",$T546&lt;&gt;1)),1,0)</f>
        <v>0</v>
      </c>
      <c r="AI546" s="53" t="str">
        <f aca="false">IF(AND($P546="高",ISNUMBER($AF546)),INDEX(IDX_SrcDate,$AF546),"—")</f>
        <v>—</v>
      </c>
      <c r="AJ546" s="104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6" t="s">
        <v>4641</v>
      </c>
      <c r="B547" s="215" t="s">
        <v>4244</v>
      </c>
      <c r="C547" s="36" t="s">
        <v>4197</v>
      </c>
      <c r="D547" s="36" t="s">
        <v>4642</v>
      </c>
      <c r="E547" s="19" t="s">
        <v>4643</v>
      </c>
      <c r="F547" s="36" t="s">
        <v>80</v>
      </c>
      <c r="G547" s="215" t="s">
        <v>3930</v>
      </c>
      <c r="H547" s="36" t="s">
        <v>587</v>
      </c>
      <c r="I547" s="6" t="s">
        <v>587</v>
      </c>
      <c r="J547" s="36" t="s">
        <v>587</v>
      </c>
      <c r="K547" s="215"/>
      <c r="L547" s="215"/>
      <c r="M547" s="36" t="s">
        <v>4644</v>
      </c>
      <c r="N547" s="19" t="s">
        <v>4643</v>
      </c>
      <c r="O547" s="6" t="s">
        <v>587</v>
      </c>
      <c r="P547" s="215" t="s">
        <v>1115</v>
      </c>
      <c r="Q547" s="185" t="s">
        <v>587</v>
      </c>
      <c r="R547" s="36" t="s">
        <v>587</v>
      </c>
      <c r="S547" s="35" t="str">
        <f aca="false">IF(ISNUMBER($AF547),INDEX(IDX_SrcStat,$AF547),"—")</f>
        <v>—</v>
      </c>
      <c r="T547" s="35" t="str">
        <f aca="false">IF(ISNUMBER($AF547),INDEX(IDX_SrcGrade,$AF547),"—")</f>
        <v>—</v>
      </c>
      <c r="U547" s="36" t="s">
        <v>587</v>
      </c>
      <c r="V547" s="186" t="n">
        <f aca="false">IF(AND($F547="原始數據",$U547&lt;&gt;"連結 SRC"),1,0)</f>
        <v>0</v>
      </c>
      <c r="W547" s="186" t="n">
        <f aca="false">IF(AND($F547="Analogy",OR($H547="—",$H547="")),1,0)</f>
        <v>0</v>
      </c>
      <c r="X547" s="186" t="n">
        <f aca="false">IF(AND(OR($F547="Analogy",$F547="Assumed"),$G547&lt;&gt;"低",$G547&lt;&gt;"高",NOT(ISNUMBER($K547)),NOT(ISNUMBER($L547)),OR($M547="—",$M547="")),1,0)</f>
        <v>0</v>
      </c>
      <c r="Y547" s="186" t="n">
        <f aca="false">IF(AND(OR($F547="Analogy",$F547="Assumed",$F547="Derived（待改公式）",$F547="Derived（公式）"),OR($N547="—",$N547="",$N547=0)),1,0)</f>
        <v>0</v>
      </c>
      <c r="Z547" s="186" t="n">
        <f aca="false">IF(AND($F547="Decision",OR($J547="—",$J547="")),1,0)</f>
        <v>0</v>
      </c>
      <c r="AA547" s="183" t="n">
        <f aca="false">IF(OR($J547="—",$J547=""),0,IF(COUNTIF(Decisions!$A$5:$A$300,$J547)=0,1,0))</f>
        <v>0</v>
      </c>
      <c r="AB547" s="186" t="n">
        <f aca="false">IF(AND($F547="原始數據",$S547&lt;&gt;"Active"),1,0)</f>
        <v>0</v>
      </c>
      <c r="AC547" s="186" t="n">
        <f aca="false">IF(AND(ISNUMBER($K547),ISNUMBER($L547),ISNUMBER($Q547)),IF(OR($Q547&lt;MIN($K547,$L547),$Q547&gt;MAX($K547,$L547)),1,0),0)</f>
        <v>0</v>
      </c>
      <c r="AD547" s="186" t="n">
        <f aca="false">IF(AND(ISNUMBER($T547),$P547="高"),IF($T547=3,1,0),0)</f>
        <v>0</v>
      </c>
      <c r="AE547" s="186" t="n">
        <f aca="false">IF($S547="不存在",1,0)</f>
        <v>0</v>
      </c>
      <c r="AF547" s="35" t="str">
        <f aca="false">IF(OR($H547="—",$H547=""),"—",MATCH($H547,IDX_SrcID,0))</f>
        <v>—</v>
      </c>
      <c r="AG547" s="104" t="n">
        <f aca="false">IF(AND($P547="高",OR($AD547=1,$X547=1)),1,0)</f>
        <v>0</v>
      </c>
      <c r="AH547" s="104" t="n">
        <f aca="false">IF(AND($P547="高",$AG547=0,OR($F547&lt;&gt;"原始數據",$T547&lt;&gt;1)),1,0)</f>
        <v>0</v>
      </c>
      <c r="AI547" s="53" t="str">
        <f aca="false">IF(AND($P547="高",ISNUMBER($AF547)),INDEX(IDX_SrcDate,$AF547),"—")</f>
        <v>—</v>
      </c>
      <c r="AJ547" s="104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6" t="s">
        <v>4645</v>
      </c>
      <c r="B548" s="215" t="s">
        <v>4244</v>
      </c>
      <c r="C548" s="36" t="s">
        <v>4197</v>
      </c>
      <c r="D548" s="36" t="s">
        <v>4646</v>
      </c>
      <c r="E548" s="19" t="s">
        <v>4647</v>
      </c>
      <c r="F548" s="36" t="s">
        <v>80</v>
      </c>
      <c r="G548" s="215" t="s">
        <v>3930</v>
      </c>
      <c r="H548" s="36" t="s">
        <v>587</v>
      </c>
      <c r="I548" s="6" t="s">
        <v>587</v>
      </c>
      <c r="J548" s="36" t="s">
        <v>587</v>
      </c>
      <c r="K548" s="215"/>
      <c r="L548" s="215"/>
      <c r="M548" s="215" t="s">
        <v>4624</v>
      </c>
      <c r="N548" s="19" t="s">
        <v>4647</v>
      </c>
      <c r="O548" s="6" t="s">
        <v>587</v>
      </c>
      <c r="P548" s="215" t="s">
        <v>1115</v>
      </c>
      <c r="Q548" s="185" t="s">
        <v>587</v>
      </c>
      <c r="R548" s="36" t="s">
        <v>587</v>
      </c>
      <c r="S548" s="35" t="str">
        <f aca="false">IF(ISNUMBER($AF548),INDEX(IDX_SrcStat,$AF548),"—")</f>
        <v>—</v>
      </c>
      <c r="T548" s="35" t="str">
        <f aca="false">IF(ISNUMBER($AF548),INDEX(IDX_SrcGrade,$AF548),"—")</f>
        <v>—</v>
      </c>
      <c r="U548" s="36" t="s">
        <v>587</v>
      </c>
      <c r="V548" s="186" t="n">
        <f aca="false">IF(AND($F548="原始數據",$U548&lt;&gt;"連結 SRC"),1,0)</f>
        <v>0</v>
      </c>
      <c r="W548" s="186" t="n">
        <f aca="false">IF(AND($F548="Analogy",OR($H548="—",$H548="")),1,0)</f>
        <v>0</v>
      </c>
      <c r="X548" s="186" t="n">
        <f aca="false">IF(AND(OR($F548="Analogy",$F548="Assumed"),$G548&lt;&gt;"低",$G548&lt;&gt;"高",NOT(ISNUMBER($K548)),NOT(ISNUMBER($L548)),OR($M548="—",$M548="")),1,0)</f>
        <v>0</v>
      </c>
      <c r="Y548" s="186" t="n">
        <f aca="false">IF(AND(OR($F548="Analogy",$F548="Assumed",$F548="Derived（待改公式）",$F548="Derived（公式）"),OR($N548="—",$N548="",$N548=0)),1,0)</f>
        <v>0</v>
      </c>
      <c r="Z548" s="186" t="n">
        <f aca="false">IF(AND($F548="Decision",OR($J548="—",$J548="")),1,0)</f>
        <v>0</v>
      </c>
      <c r="AA548" s="183" t="n">
        <f aca="false">IF(OR($J548="—",$J548=""),0,IF(COUNTIF(Decisions!$A$5:$A$300,$J548)=0,1,0))</f>
        <v>0</v>
      </c>
      <c r="AB548" s="186" t="n">
        <f aca="false">IF(AND($F548="原始數據",$S548&lt;&gt;"Active"),1,0)</f>
        <v>0</v>
      </c>
      <c r="AC548" s="186" t="n">
        <f aca="false">IF(AND(ISNUMBER($K548),ISNUMBER($L548),ISNUMBER($Q548)),IF(OR($Q548&lt;MIN($K548,$L548),$Q548&gt;MAX($K548,$L548)),1,0),0)</f>
        <v>0</v>
      </c>
      <c r="AD548" s="186" t="n">
        <f aca="false">IF(AND(ISNUMBER($T548),$P548="高"),IF($T548=3,1,0),0)</f>
        <v>0</v>
      </c>
      <c r="AE548" s="186" t="n">
        <f aca="false">IF($S548="不存在",1,0)</f>
        <v>0</v>
      </c>
      <c r="AF548" s="35" t="str">
        <f aca="false">IF(OR($H548="—",$H548=""),"—",MATCH($H548,IDX_SrcID,0))</f>
        <v>—</v>
      </c>
      <c r="AG548" s="104" t="n">
        <f aca="false">IF(AND($P548="高",OR($AD548=1,$X548=1)),1,0)</f>
        <v>0</v>
      </c>
      <c r="AH548" s="104" t="n">
        <f aca="false">IF(AND($P548="高",$AG548=0,OR($F548&lt;&gt;"原始數據",$T548&lt;&gt;1)),1,0)</f>
        <v>0</v>
      </c>
      <c r="AI548" s="53" t="str">
        <f aca="false">IF(AND($P548="高",ISNUMBER($AF548)),INDEX(IDX_SrcDate,$AF548),"—")</f>
        <v>—</v>
      </c>
      <c r="AJ548" s="104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6" t="s">
        <v>4648</v>
      </c>
      <c r="B549" s="215" t="s">
        <v>4244</v>
      </c>
      <c r="C549" s="36" t="s">
        <v>4197</v>
      </c>
      <c r="D549" s="36" t="s">
        <v>4649</v>
      </c>
      <c r="E549" s="6" t="s">
        <v>952</v>
      </c>
      <c r="F549" s="36" t="s">
        <v>3471</v>
      </c>
      <c r="G549" s="215" t="s">
        <v>3185</v>
      </c>
      <c r="H549" s="36" t="s">
        <v>2418</v>
      </c>
      <c r="I549" s="19" t="s">
        <v>4650</v>
      </c>
      <c r="J549" s="36" t="s">
        <v>587</v>
      </c>
      <c r="K549" s="215"/>
      <c r="L549" s="215"/>
      <c r="M549" s="36" t="s">
        <v>587</v>
      </c>
      <c r="N549" s="19" t="s">
        <v>4651</v>
      </c>
      <c r="O549" s="6" t="s">
        <v>587</v>
      </c>
      <c r="P549" s="215" t="s">
        <v>3188</v>
      </c>
      <c r="Q549" s="179" t="n">
        <f aca="false">Train_In!C44</f>
        <v>0.0551801801801802</v>
      </c>
      <c r="R549" s="185" t="n">
        <f aca="false">SRC_MOD_034</f>
        <v>0.147</v>
      </c>
      <c r="S549" s="35" t="str">
        <f aca="false">IF(ISNUMBER($AF549),INDEX(IDX_SrcStat,$AF549),"—")</f>
        <v>Active</v>
      </c>
      <c r="T549" s="35" t="n">
        <f aca="false">IF(ISNUMBER($AF549),INDEX(IDX_SrcGrade,$AF549),"—")</f>
        <v>2</v>
      </c>
      <c r="U549" s="35" t="s">
        <v>3222</v>
      </c>
      <c r="V549" s="186" t="n">
        <f aca="false">IF(AND($F549="原始數據",$U549&lt;&gt;"連結 SRC"),1,0)</f>
        <v>0</v>
      </c>
      <c r="W549" s="186" t="n">
        <f aca="false">IF(AND($F549="Analogy",OR($H549="—",$H549="")),1,0)</f>
        <v>0</v>
      </c>
      <c r="X549" s="186" t="n">
        <f aca="false">IF(AND(OR($F549="Analogy",$F549="Assumed"),$G549&lt;&gt;"低",$G549&lt;&gt;"高",NOT(ISNUMBER($K549)),NOT(ISNUMBER($L549)),OR($M549="—",$M549="")),1,0)</f>
        <v>0</v>
      </c>
      <c r="Y549" s="186" t="n">
        <f aca="false">IF(AND(OR($F549="Analogy",$F549="Assumed",$F549="Derived（待改公式）",$F549="Derived（公式）"),OR($N549="—",$N549="",$N549=0)),1,0)</f>
        <v>0</v>
      </c>
      <c r="Z549" s="186" t="n">
        <f aca="false">IF(AND($F549="Decision",OR($J549="—",$J549="")),1,0)</f>
        <v>0</v>
      </c>
      <c r="AA549" s="183" t="n">
        <f aca="false">IF(OR($J549="—",$J549=""),0,IF(COUNTIF(Decisions!$A$5:$A$300,$J549)=0,1,0))</f>
        <v>0</v>
      </c>
      <c r="AB549" s="186" t="n">
        <f aca="false">IF(AND($F549="原始數據",$S549&lt;&gt;"Active"),1,0)</f>
        <v>0</v>
      </c>
      <c r="AC549" s="186" t="n">
        <f aca="false">IF(AND(ISNUMBER($K549),ISNUMBER($L549),ISNUMBER($Q549)),IF(OR($Q549&lt;MIN($K549,$L549),$Q549&gt;MAX($K549,$L549)),1,0),0)</f>
        <v>0</v>
      </c>
      <c r="AD549" s="186" t="n">
        <f aca="false">IF(AND(ISNUMBER($T549),$P549="高"),IF($T549=3,1,0),0)</f>
        <v>0</v>
      </c>
      <c r="AE549" s="186" t="n">
        <f aca="false">IF($S549="不存在",1,0)</f>
        <v>0</v>
      </c>
      <c r="AF549" s="35" t="n">
        <f aca="false">IF(OR($H549="—",$H549=""),"—",MATCH($H549,IDX_SrcID,0))</f>
        <v>211</v>
      </c>
      <c r="AG549" s="104" t="n">
        <f aca="false">IF(AND($P549="高",OR($AD549=1,$X549=1)),1,0)</f>
        <v>0</v>
      </c>
      <c r="AH549" s="104" t="n">
        <f aca="false">IF(AND($P549="高",$AG549=0,OR($F549&lt;&gt;"原始數據",$T549&lt;&gt;1)),1,0)</f>
        <v>0</v>
      </c>
      <c r="AI549" s="53" t="str">
        <f aca="false">IF(AND($P549="高",ISNUMBER($AF549)),INDEX(IDX_SrcDate,$AF549),"—")</f>
        <v>—</v>
      </c>
      <c r="AJ549" s="104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6" t="s">
        <v>4652</v>
      </c>
      <c r="B550" s="215" t="s">
        <v>4244</v>
      </c>
      <c r="C550" s="36" t="s">
        <v>4197</v>
      </c>
      <c r="D550" s="36" t="s">
        <v>4653</v>
      </c>
      <c r="E550" s="19" t="s">
        <v>958</v>
      </c>
      <c r="F550" s="36" t="s">
        <v>84</v>
      </c>
      <c r="G550" s="215" t="s">
        <v>65</v>
      </c>
      <c r="H550" s="36" t="s">
        <v>4654</v>
      </c>
      <c r="I550" s="19" t="s">
        <v>4655</v>
      </c>
      <c r="J550" s="36" t="s">
        <v>4599</v>
      </c>
      <c r="K550" s="222" t="n">
        <f aca="false">Train_In!C46</f>
        <v>2E+026</v>
      </c>
      <c r="L550" s="222" t="n">
        <f aca="false">Train_In!C48</f>
        <v>2E+027</v>
      </c>
      <c r="M550" s="36" t="s">
        <v>587</v>
      </c>
      <c r="N550" s="6" t="s">
        <v>4656</v>
      </c>
      <c r="O550" s="6" t="s">
        <v>587</v>
      </c>
      <c r="P550" s="215" t="s">
        <v>3188</v>
      </c>
      <c r="Q550" s="222" t="n">
        <f aca="false">Train_In!C47</f>
        <v>5E+026</v>
      </c>
      <c r="R550" s="185" t="n">
        <f aca="false">SRC_MOD_033</f>
        <v>4.6E+026</v>
      </c>
      <c r="S550" s="35" t="str">
        <f aca="false">IF(ISNUMBER($AF550),INDEX(IDX_SrcStat,$AF550),"—")</f>
        <v>Active</v>
      </c>
      <c r="T550" s="35" t="n">
        <f aca="false">IF(ISNUMBER($AF550),INDEX(IDX_SrcGrade,$AF550),"—")</f>
        <v>1</v>
      </c>
      <c r="U550" s="35" t="s">
        <v>3189</v>
      </c>
      <c r="V550" s="186" t="n">
        <f aca="false">IF(AND($F550="原始數據",$U550&lt;&gt;"連結 SRC"),1,0)</f>
        <v>0</v>
      </c>
      <c r="W550" s="186" t="n">
        <f aca="false">IF(AND($F550="Analogy",OR($H550="—",$H550="")),1,0)</f>
        <v>0</v>
      </c>
      <c r="X550" s="186" t="n">
        <f aca="false">IF(AND(OR($F550="Analogy",$F550="Assumed"),$G550&lt;&gt;"低",$G550&lt;&gt;"高",NOT(ISNUMBER($K550)),NOT(ISNUMBER($L550)),OR($M550="—",$M550="")),1,0)</f>
        <v>0</v>
      </c>
      <c r="Y550" s="186" t="n">
        <f aca="false">IF(AND(OR($F550="Analogy",$F550="Assumed",$F550="Derived（待改公式）",$F550="Derived（公式）"),OR($N550="—",$N550="",$N550=0)),1,0)</f>
        <v>0</v>
      </c>
      <c r="Z550" s="186" t="n">
        <f aca="false">IF(AND($F550="Decision",OR($J550="—",$J550="")),1,0)</f>
        <v>0</v>
      </c>
      <c r="AA550" s="183" t="n">
        <f aca="false">IF(OR($J550="—",$J550=""),0,IF(COUNTIF(Decisions!$A$5:$A$300,$J550)=0,1,0))</f>
        <v>0</v>
      </c>
      <c r="AB550" s="186" t="n">
        <f aca="false">IF(AND($F550="原始數據",$S550&lt;&gt;"Active"),1,0)</f>
        <v>0</v>
      </c>
      <c r="AC550" s="186" t="n">
        <f aca="false">IF(AND(ISNUMBER($K550),ISNUMBER($L550),ISNUMBER($Q550)),IF(OR($Q550&lt;MIN($K550,$L550),$Q550&gt;MAX($K550,$L550)),1,0),0)</f>
        <v>0</v>
      </c>
      <c r="AD550" s="186" t="n">
        <f aca="false">IF(AND(ISNUMBER($T550),$P550="高"),IF($T550=3,1,0),0)</f>
        <v>0</v>
      </c>
      <c r="AE550" s="186" t="n">
        <f aca="false">IF($S550="不存在",1,0)</f>
        <v>0</v>
      </c>
      <c r="AF550" s="35" t="n">
        <f aca="false">IF(OR($H550="—",$H550=""),"—",MATCH($H550,IDX_SrcID,0))</f>
        <v>210</v>
      </c>
      <c r="AG550" s="104" t="n">
        <f aca="false">IF(AND($P550="高",OR($AD550=1,$X550=1)),1,0)</f>
        <v>0</v>
      </c>
      <c r="AH550" s="104" t="n">
        <f aca="false">IF(AND($P550="高",$AG550=0,OR($F550&lt;&gt;"原始數據",$T550&lt;&gt;1)),1,0)</f>
        <v>0</v>
      </c>
      <c r="AI550" s="53" t="str">
        <f aca="false">IF(AND($P550="高",ISNUMBER($AF550)),INDEX(IDX_SrcDate,$AF550),"—")</f>
        <v>—</v>
      </c>
      <c r="AJ550" s="104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6" t="s">
        <v>4657</v>
      </c>
      <c r="B551" s="215" t="s">
        <v>4244</v>
      </c>
      <c r="C551" s="36" t="s">
        <v>4197</v>
      </c>
      <c r="D551" s="36" t="s">
        <v>4658</v>
      </c>
      <c r="E551" s="19" t="s">
        <v>956</v>
      </c>
      <c r="F551" s="36" t="s">
        <v>84</v>
      </c>
      <c r="G551" s="215" t="s">
        <v>1115</v>
      </c>
      <c r="H551" s="36" t="s">
        <v>4654</v>
      </c>
      <c r="I551" s="19" t="s">
        <v>3208</v>
      </c>
      <c r="J551" s="36" t="s">
        <v>4599</v>
      </c>
      <c r="K551" s="215"/>
      <c r="L551" s="215"/>
      <c r="M551" s="36" t="s">
        <v>587</v>
      </c>
      <c r="N551" s="19" t="s">
        <v>4659</v>
      </c>
      <c r="O551" s="6" t="s">
        <v>587</v>
      </c>
      <c r="P551" s="215" t="s">
        <v>3188</v>
      </c>
      <c r="Q551" s="222" t="n">
        <f aca="false">Train_In!C46</f>
        <v>2E+026</v>
      </c>
      <c r="R551" s="185" t="n">
        <f aca="false">SRC_MOD_033</f>
        <v>4.6E+026</v>
      </c>
      <c r="S551" s="35" t="str">
        <f aca="false">IF(ISNUMBER($AF551),INDEX(IDX_SrcStat,$AF551),"—")</f>
        <v>Active</v>
      </c>
      <c r="T551" s="35" t="n">
        <f aca="false">IF(ISNUMBER($AF551),INDEX(IDX_SrcGrade,$AF551),"—")</f>
        <v>1</v>
      </c>
      <c r="U551" s="35" t="s">
        <v>3189</v>
      </c>
      <c r="V551" s="186" t="n">
        <f aca="false">IF(AND($F551="原始數據",$U551&lt;&gt;"連結 SRC"),1,0)</f>
        <v>0</v>
      </c>
      <c r="W551" s="186" t="n">
        <f aca="false">IF(AND($F551="Analogy",OR($H551="—",$H551="")),1,0)</f>
        <v>0</v>
      </c>
      <c r="X551" s="186" t="n">
        <f aca="false">IF(AND(OR($F551="Analogy",$F551="Assumed"),$G551&lt;&gt;"低",$G551&lt;&gt;"高",NOT(ISNUMBER($K551)),NOT(ISNUMBER($L551)),OR($M551="—",$M551="")),1,0)</f>
        <v>0</v>
      </c>
      <c r="Y551" s="186" t="n">
        <f aca="false">IF(AND(OR($F551="Analogy",$F551="Assumed",$F551="Derived（待改公式）",$F551="Derived（公式）"),OR($N551="—",$N551="",$N551=0)),1,0)</f>
        <v>0</v>
      </c>
      <c r="Z551" s="186" t="n">
        <f aca="false">IF(AND($F551="Decision",OR($J551="—",$J551="")),1,0)</f>
        <v>0</v>
      </c>
      <c r="AA551" s="183" t="n">
        <f aca="false">IF(OR($J551="—",$J551=""),0,IF(COUNTIF(Decisions!$A$5:$A$300,$J551)=0,1,0))</f>
        <v>0</v>
      </c>
      <c r="AB551" s="186" t="n">
        <f aca="false">IF(AND($F551="原始數據",$S551&lt;&gt;"Active"),1,0)</f>
        <v>0</v>
      </c>
      <c r="AC551" s="186" t="n">
        <f aca="false">IF(AND(ISNUMBER($K551),ISNUMBER($L551),ISNUMBER($Q551)),IF(OR($Q551&lt;MIN($K551,$L551),$Q551&gt;MAX($K551,$L551)),1,0),0)</f>
        <v>0</v>
      </c>
      <c r="AD551" s="186" t="n">
        <f aca="false">IF(AND(ISNUMBER($T551),$P551="高"),IF($T551=3,1,0),0)</f>
        <v>0</v>
      </c>
      <c r="AE551" s="186" t="n">
        <f aca="false">IF($S551="不存在",1,0)</f>
        <v>0</v>
      </c>
      <c r="AF551" s="35" t="n">
        <f aca="false">IF(OR($H551="—",$H551=""),"—",MATCH($H551,IDX_SrcID,0))</f>
        <v>210</v>
      </c>
      <c r="AG551" s="104" t="n">
        <f aca="false">IF(AND($P551="高",OR($AD551=1,$X551=1)),1,0)</f>
        <v>0</v>
      </c>
      <c r="AH551" s="104" t="n">
        <f aca="false">IF(AND($P551="高",$AG551=0,OR($F551&lt;&gt;"原始數據",$T551&lt;&gt;1)),1,0)</f>
        <v>0</v>
      </c>
      <c r="AI551" s="53" t="str">
        <f aca="false">IF(AND($P551="高",ISNUMBER($AF551)),INDEX(IDX_SrcDate,$AF551),"—")</f>
        <v>—</v>
      </c>
      <c r="AJ551" s="104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6" t="s">
        <v>4660</v>
      </c>
      <c r="B552" s="215" t="s">
        <v>4244</v>
      </c>
      <c r="C552" s="36" t="s">
        <v>4197</v>
      </c>
      <c r="D552" s="36" t="s">
        <v>4661</v>
      </c>
      <c r="E552" s="19" t="s">
        <v>959</v>
      </c>
      <c r="F552" s="36" t="s">
        <v>84</v>
      </c>
      <c r="G552" s="215" t="s">
        <v>1116</v>
      </c>
      <c r="H552" s="36" t="s">
        <v>4654</v>
      </c>
      <c r="I552" s="19" t="s">
        <v>3208</v>
      </c>
      <c r="J552" s="36" t="s">
        <v>4599</v>
      </c>
      <c r="K552" s="215"/>
      <c r="L552" s="215"/>
      <c r="M552" s="36" t="s">
        <v>587</v>
      </c>
      <c r="N552" s="19" t="s">
        <v>4662</v>
      </c>
      <c r="O552" s="6" t="s">
        <v>587</v>
      </c>
      <c r="P552" s="215" t="s">
        <v>3188</v>
      </c>
      <c r="Q552" s="222" t="n">
        <f aca="false">Train_In!C48</f>
        <v>2E+027</v>
      </c>
      <c r="R552" s="185" t="n">
        <f aca="false">SRC_MOD_033</f>
        <v>4.6E+026</v>
      </c>
      <c r="S552" s="35" t="str">
        <f aca="false">IF(ISNUMBER($AF552),INDEX(IDX_SrcStat,$AF552),"—")</f>
        <v>Active</v>
      </c>
      <c r="T552" s="35" t="n">
        <f aca="false">IF(ISNUMBER($AF552),INDEX(IDX_SrcGrade,$AF552),"—")</f>
        <v>1</v>
      </c>
      <c r="U552" s="35" t="s">
        <v>3189</v>
      </c>
      <c r="V552" s="186" t="n">
        <f aca="false">IF(AND($F552="原始數據",$U552&lt;&gt;"連結 SRC"),1,0)</f>
        <v>0</v>
      </c>
      <c r="W552" s="186" t="n">
        <f aca="false">IF(AND($F552="Analogy",OR($H552="—",$H552="")),1,0)</f>
        <v>0</v>
      </c>
      <c r="X552" s="186" t="n">
        <f aca="false">IF(AND(OR($F552="Analogy",$F552="Assumed"),$G552&lt;&gt;"低",$G552&lt;&gt;"高",NOT(ISNUMBER($K552)),NOT(ISNUMBER($L552)),OR($M552="—",$M552="")),1,0)</f>
        <v>0</v>
      </c>
      <c r="Y552" s="186" t="n">
        <f aca="false">IF(AND(OR($F552="Analogy",$F552="Assumed",$F552="Derived（待改公式）",$F552="Derived（公式）"),OR($N552="—",$N552="",$N552=0)),1,0)</f>
        <v>0</v>
      </c>
      <c r="Z552" s="186" t="n">
        <f aca="false">IF(AND($F552="Decision",OR($J552="—",$J552="")),1,0)</f>
        <v>0</v>
      </c>
      <c r="AA552" s="183" t="n">
        <f aca="false">IF(OR($J552="—",$J552=""),0,IF(COUNTIF(Decisions!$A$5:$A$300,$J552)=0,1,0))</f>
        <v>0</v>
      </c>
      <c r="AB552" s="186" t="n">
        <f aca="false">IF(AND($F552="原始數據",$S552&lt;&gt;"Active"),1,0)</f>
        <v>0</v>
      </c>
      <c r="AC552" s="186" t="n">
        <f aca="false">IF(AND(ISNUMBER($K552),ISNUMBER($L552),ISNUMBER($Q552)),IF(OR($Q552&lt;MIN($K552,$L552),$Q552&gt;MAX($K552,$L552)),1,0),0)</f>
        <v>0</v>
      </c>
      <c r="AD552" s="186" t="n">
        <f aca="false">IF(AND(ISNUMBER($T552),$P552="高"),IF($T552=3,1,0),0)</f>
        <v>0</v>
      </c>
      <c r="AE552" s="186" t="n">
        <f aca="false">IF($S552="不存在",1,0)</f>
        <v>0</v>
      </c>
      <c r="AF552" s="35" t="n">
        <f aca="false">IF(OR($H552="—",$H552=""),"—",MATCH($H552,IDX_SrcID,0))</f>
        <v>210</v>
      </c>
      <c r="AG552" s="104" t="n">
        <f aca="false">IF(AND($P552="高",OR($AD552=1,$X552=1)),1,0)</f>
        <v>0</v>
      </c>
      <c r="AH552" s="104" t="n">
        <f aca="false">IF(AND($P552="高",$AG552=0,OR($F552&lt;&gt;"原始數據",$T552&lt;&gt;1)),1,0)</f>
        <v>0</v>
      </c>
      <c r="AI552" s="53" t="str">
        <f aca="false">IF(AND($P552="高",ISNUMBER($AF552)),INDEX(IDX_SrcDate,$AF552),"—")</f>
        <v>—</v>
      </c>
      <c r="AJ552" s="104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6" t="s">
        <v>4663</v>
      </c>
      <c r="B553" s="215" t="s">
        <v>4244</v>
      </c>
      <c r="C553" s="36" t="s">
        <v>4226</v>
      </c>
      <c r="D553" s="36" t="s">
        <v>4173</v>
      </c>
      <c r="E553" s="19" t="s">
        <v>419</v>
      </c>
      <c r="F553" s="215" t="s">
        <v>3929</v>
      </c>
      <c r="G553" s="215" t="s">
        <v>3930</v>
      </c>
      <c r="H553" s="36" t="s">
        <v>587</v>
      </c>
      <c r="I553" s="6" t="s">
        <v>587</v>
      </c>
      <c r="J553" s="36" t="s">
        <v>587</v>
      </c>
      <c r="K553" s="215"/>
      <c r="L553" s="215"/>
      <c r="M553" s="36" t="s">
        <v>587</v>
      </c>
      <c r="N553" s="19" t="s">
        <v>419</v>
      </c>
      <c r="O553" s="6" t="s">
        <v>587</v>
      </c>
      <c r="P553" s="215" t="s">
        <v>3188</v>
      </c>
      <c r="Q553" s="185" t="s">
        <v>587</v>
      </c>
      <c r="R553" s="36" t="s">
        <v>587</v>
      </c>
      <c r="S553" s="35" t="str">
        <f aca="false">IF(ISNUMBER($AF553),INDEX(IDX_SrcStat,$AF553),"—")</f>
        <v>—</v>
      </c>
      <c r="T553" s="35" t="str">
        <f aca="false">IF(ISNUMBER($AF553),INDEX(IDX_SrcGrade,$AF553),"—")</f>
        <v>—</v>
      </c>
      <c r="U553" s="36" t="s">
        <v>587</v>
      </c>
      <c r="V553" s="186" t="n">
        <f aca="false">IF(AND($F553="原始數據",$U553&lt;&gt;"連結 SRC"),1,0)</f>
        <v>0</v>
      </c>
      <c r="W553" s="186" t="n">
        <f aca="false">IF(AND($F553="Analogy",OR($H553="—",$H553="")),1,0)</f>
        <v>0</v>
      </c>
      <c r="X553" s="186" t="n">
        <f aca="false">IF(AND(OR($F553="Analogy",$F553="Assumed"),$G553&lt;&gt;"低",$G553&lt;&gt;"高",NOT(ISNUMBER($K553)),NOT(ISNUMBER($L553)),OR($M553="—",$M553="")),1,0)</f>
        <v>0</v>
      </c>
      <c r="Y553" s="186" t="n">
        <f aca="false">IF(AND(OR($F553="Analogy",$F553="Assumed",$F553="Derived（待改公式）",$F553="Derived（公式）"),OR($N553="—",$N553="",$N553=0)),1,0)</f>
        <v>0</v>
      </c>
      <c r="Z553" s="186" t="n">
        <f aca="false">IF(AND($F553="Decision",OR($J553="—",$J553="")),1,0)</f>
        <v>0</v>
      </c>
      <c r="AA553" s="183" t="n">
        <f aca="false">IF(OR($J553="—",$J553=""),0,IF(COUNTIF(Decisions!$A$5:$A$300,$J553)=0,1,0))</f>
        <v>0</v>
      </c>
      <c r="AB553" s="186" t="n">
        <f aca="false">IF(AND($F553="原始數據",$S553&lt;&gt;"Active"),1,0)</f>
        <v>0</v>
      </c>
      <c r="AC553" s="186" t="n">
        <f aca="false">IF(AND(ISNUMBER($K553),ISNUMBER($L553),ISNUMBER($Q553)),IF(OR($Q553&lt;MIN($K553,$L553),$Q553&gt;MAX($K553,$L553)),1,0),0)</f>
        <v>0</v>
      </c>
      <c r="AD553" s="186" t="n">
        <f aca="false">IF(AND(ISNUMBER($T553),$P553="高"),IF($T553=3,1,0),0)</f>
        <v>0</v>
      </c>
      <c r="AE553" s="186" t="n">
        <f aca="false">IF($S553="不存在",1,0)</f>
        <v>0</v>
      </c>
      <c r="AF553" s="35" t="str">
        <f aca="false">IF(OR($H553="—",$H553=""),"—",MATCH($H553,IDX_SrcID,0))</f>
        <v>—</v>
      </c>
      <c r="AG553" s="104" t="n">
        <f aca="false">IF(AND($P553="高",OR($AD553=1,$X553=1)),1,0)</f>
        <v>0</v>
      </c>
      <c r="AH553" s="104" t="n">
        <f aca="false">IF(AND($P553="高",$AG553=0,OR($F553&lt;&gt;"原始數據",$T553&lt;&gt;1)),1,0)</f>
        <v>0</v>
      </c>
      <c r="AI553" s="53" t="str">
        <f aca="false">IF(AND($P553="高",ISNUMBER($AF553)),INDEX(IDX_SrcDate,$AF553),"—")</f>
        <v>—</v>
      </c>
      <c r="AJ553" s="104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6" t="s">
        <v>4664</v>
      </c>
      <c r="B554" s="215" t="s">
        <v>4244</v>
      </c>
      <c r="C554" s="36" t="s">
        <v>4226</v>
      </c>
      <c r="D554" s="36" t="s">
        <v>4175</v>
      </c>
      <c r="E554" s="19" t="s">
        <v>690</v>
      </c>
      <c r="F554" s="215" t="s">
        <v>3929</v>
      </c>
      <c r="G554" s="215" t="s">
        <v>3930</v>
      </c>
      <c r="H554" s="36" t="s">
        <v>587</v>
      </c>
      <c r="I554" s="6" t="s">
        <v>587</v>
      </c>
      <c r="J554" s="36" t="s">
        <v>587</v>
      </c>
      <c r="K554" s="215"/>
      <c r="L554" s="215"/>
      <c r="M554" s="36" t="s">
        <v>587</v>
      </c>
      <c r="N554" s="19" t="s">
        <v>690</v>
      </c>
      <c r="O554" s="6" t="s">
        <v>587</v>
      </c>
      <c r="P554" s="215" t="s">
        <v>3188</v>
      </c>
      <c r="Q554" s="185" t="s">
        <v>587</v>
      </c>
      <c r="R554" s="36" t="s">
        <v>587</v>
      </c>
      <c r="S554" s="35" t="str">
        <f aca="false">IF(ISNUMBER($AF554),INDEX(IDX_SrcStat,$AF554),"—")</f>
        <v>—</v>
      </c>
      <c r="T554" s="35" t="str">
        <f aca="false">IF(ISNUMBER($AF554),INDEX(IDX_SrcGrade,$AF554),"—")</f>
        <v>—</v>
      </c>
      <c r="U554" s="36" t="s">
        <v>587</v>
      </c>
      <c r="V554" s="186" t="n">
        <f aca="false">IF(AND($F554="原始數據",$U554&lt;&gt;"連結 SRC"),1,0)</f>
        <v>0</v>
      </c>
      <c r="W554" s="186" t="n">
        <f aca="false">IF(AND($F554="Analogy",OR($H554="—",$H554="")),1,0)</f>
        <v>0</v>
      </c>
      <c r="X554" s="186" t="n">
        <f aca="false">IF(AND(OR($F554="Analogy",$F554="Assumed"),$G554&lt;&gt;"低",$G554&lt;&gt;"高",NOT(ISNUMBER($K554)),NOT(ISNUMBER($L554)),OR($M554="—",$M554="")),1,0)</f>
        <v>0</v>
      </c>
      <c r="Y554" s="186" t="n">
        <f aca="false">IF(AND(OR($F554="Analogy",$F554="Assumed",$F554="Derived（待改公式）",$F554="Derived（公式）"),OR($N554="—",$N554="",$N554=0)),1,0)</f>
        <v>0</v>
      </c>
      <c r="Z554" s="186" t="n">
        <f aca="false">IF(AND($F554="Decision",OR($J554="—",$J554="")),1,0)</f>
        <v>0</v>
      </c>
      <c r="AA554" s="183" t="n">
        <f aca="false">IF(OR($J554="—",$J554=""),0,IF(COUNTIF(Decisions!$A$5:$A$300,$J554)=0,1,0))</f>
        <v>0</v>
      </c>
      <c r="AB554" s="186" t="n">
        <f aca="false">IF(AND($F554="原始數據",$S554&lt;&gt;"Active"),1,0)</f>
        <v>0</v>
      </c>
      <c r="AC554" s="186" t="n">
        <f aca="false">IF(AND(ISNUMBER($K554),ISNUMBER($L554),ISNUMBER($Q554)),IF(OR($Q554&lt;MIN($K554,$L554),$Q554&gt;MAX($K554,$L554)),1,0),0)</f>
        <v>0</v>
      </c>
      <c r="AD554" s="186" t="n">
        <f aca="false">IF(AND(ISNUMBER($T554),$P554="高"),IF($T554=3,1,0),0)</f>
        <v>0</v>
      </c>
      <c r="AE554" s="186" t="n">
        <f aca="false">IF($S554="不存在",1,0)</f>
        <v>0</v>
      </c>
      <c r="AF554" s="35" t="str">
        <f aca="false">IF(OR($H554="—",$H554=""),"—",MATCH($H554,IDX_SrcID,0))</f>
        <v>—</v>
      </c>
      <c r="AG554" s="104" t="n">
        <f aca="false">IF(AND($P554="高",OR($AD554=1,$X554=1)),1,0)</f>
        <v>0</v>
      </c>
      <c r="AH554" s="104" t="n">
        <f aca="false">IF(AND($P554="高",$AG554=0,OR($F554&lt;&gt;"原始數據",$T554&lt;&gt;1)),1,0)</f>
        <v>0</v>
      </c>
      <c r="AI554" s="53" t="str">
        <f aca="false">IF(AND($P554="高",ISNUMBER($AF554)),INDEX(IDX_SrcDate,$AF554),"—")</f>
        <v>—</v>
      </c>
      <c r="AJ554" s="104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6" t="s">
        <v>4665</v>
      </c>
      <c r="B555" s="215" t="s">
        <v>4244</v>
      </c>
      <c r="C555" s="36" t="s">
        <v>4226</v>
      </c>
      <c r="D555" s="36" t="s">
        <v>4666</v>
      </c>
      <c r="E555" s="19" t="s">
        <v>4667</v>
      </c>
      <c r="F555" s="215" t="s">
        <v>348</v>
      </c>
      <c r="G555" s="215" t="s">
        <v>3930</v>
      </c>
      <c r="H555" s="36" t="s">
        <v>587</v>
      </c>
      <c r="I555" s="6" t="s">
        <v>587</v>
      </c>
      <c r="J555" s="36" t="s">
        <v>587</v>
      </c>
      <c r="K555" s="215"/>
      <c r="L555" s="215"/>
      <c r="M555" s="36" t="s">
        <v>587</v>
      </c>
      <c r="N555" s="6" t="s">
        <v>4668</v>
      </c>
      <c r="O555" s="6" t="s">
        <v>587</v>
      </c>
      <c r="P555" s="215" t="s">
        <v>3188</v>
      </c>
      <c r="Q555" s="185" t="s">
        <v>587</v>
      </c>
      <c r="R555" s="36" t="s">
        <v>587</v>
      </c>
      <c r="S555" s="35" t="str">
        <f aca="false">IF(ISNUMBER($AF555),INDEX(IDX_SrcStat,$AF555),"—")</f>
        <v>—</v>
      </c>
      <c r="T555" s="35" t="str">
        <f aca="false">IF(ISNUMBER($AF555),INDEX(IDX_SrcGrade,$AF555),"—")</f>
        <v>—</v>
      </c>
      <c r="U555" s="36" t="s">
        <v>587</v>
      </c>
      <c r="V555" s="186" t="n">
        <f aca="false">IF(AND($F555="原始數據",$U555&lt;&gt;"連結 SRC"),1,0)</f>
        <v>0</v>
      </c>
      <c r="W555" s="186" t="n">
        <f aca="false">IF(AND($F555="Analogy",OR($H555="—",$H555="")),1,0)</f>
        <v>0</v>
      </c>
      <c r="X555" s="186" t="n">
        <f aca="false">IF(AND(OR($F555="Analogy",$F555="Assumed"),$G555&lt;&gt;"低",$G555&lt;&gt;"高",NOT(ISNUMBER($K555)),NOT(ISNUMBER($L555)),OR($M555="—",$M555="")),1,0)</f>
        <v>0</v>
      </c>
      <c r="Y555" s="186" t="n">
        <f aca="false">IF(AND(OR($F555="Analogy",$F555="Assumed",$F555="Derived（待改公式）",$F555="Derived（公式）"),OR($N555="—",$N555="",$N555=0)),1,0)</f>
        <v>0</v>
      </c>
      <c r="Z555" s="186" t="n">
        <f aca="false">IF(AND($F555="Decision",OR($J555="—",$J555="")),1,0)</f>
        <v>0</v>
      </c>
      <c r="AA555" s="183" t="n">
        <f aca="false">IF(OR($J555="—",$J555=""),0,IF(COUNTIF(Decisions!$A$5:$A$300,$J555)=0,1,0))</f>
        <v>0</v>
      </c>
      <c r="AB555" s="186" t="n">
        <f aca="false">IF(AND($F555="原始數據",$S555&lt;&gt;"Active"),1,0)</f>
        <v>0</v>
      </c>
      <c r="AC555" s="186" t="n">
        <f aca="false">IF(AND(ISNUMBER($K555),ISNUMBER($L555),ISNUMBER($Q555)),IF(OR($Q555&lt;MIN($K555,$L555),$Q555&gt;MAX($K555,$L555)),1,0),0)</f>
        <v>0</v>
      </c>
      <c r="AD555" s="186" t="n">
        <f aca="false">IF(AND(ISNUMBER($T555),$P555="高"),IF($T555=3,1,0),0)</f>
        <v>0</v>
      </c>
      <c r="AE555" s="186" t="n">
        <f aca="false">IF($S555="不存在",1,0)</f>
        <v>0</v>
      </c>
      <c r="AF555" s="35" t="str">
        <f aca="false">IF(OR($H555="—",$H555=""),"—",MATCH($H555,IDX_SrcID,0))</f>
        <v>—</v>
      </c>
      <c r="AG555" s="104" t="n">
        <f aca="false">IF(AND($P555="高",OR($AD555=1,$X555=1)),1,0)</f>
        <v>0</v>
      </c>
      <c r="AH555" s="104" t="n">
        <f aca="false">IF(AND($P555="高",$AG555=0,OR($F555&lt;&gt;"原始數據",$T555&lt;&gt;1)),1,0)</f>
        <v>0</v>
      </c>
      <c r="AI555" s="53" t="str">
        <f aca="false">IF(AND($P555="高",ISNUMBER($AF555)),INDEX(IDX_SrcDate,$AF555),"—")</f>
        <v>—</v>
      </c>
      <c r="AJ555" s="104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6" t="s">
        <v>4669</v>
      </c>
      <c r="B556" s="215" t="s">
        <v>4244</v>
      </c>
      <c r="C556" s="36" t="s">
        <v>4226</v>
      </c>
      <c r="D556" s="36" t="s">
        <v>4670</v>
      </c>
      <c r="E556" s="6" t="s">
        <v>977</v>
      </c>
      <c r="F556" s="215" t="s">
        <v>348</v>
      </c>
      <c r="G556" s="215" t="s">
        <v>3930</v>
      </c>
      <c r="H556" s="36" t="s">
        <v>587</v>
      </c>
      <c r="I556" s="6" t="s">
        <v>587</v>
      </c>
      <c r="J556" s="36" t="s">
        <v>587</v>
      </c>
      <c r="K556" s="215"/>
      <c r="L556" s="215"/>
      <c r="M556" s="36" t="s">
        <v>587</v>
      </c>
      <c r="N556" s="6" t="s">
        <v>4671</v>
      </c>
      <c r="O556" s="6" t="s">
        <v>587</v>
      </c>
      <c r="P556" s="215" t="s">
        <v>3188</v>
      </c>
      <c r="Q556" s="185" t="s">
        <v>587</v>
      </c>
      <c r="R556" s="36" t="s">
        <v>587</v>
      </c>
      <c r="S556" s="35" t="str">
        <f aca="false">IF(ISNUMBER($AF556),INDEX(IDX_SrcStat,$AF556),"—")</f>
        <v>—</v>
      </c>
      <c r="T556" s="35" t="str">
        <f aca="false">IF(ISNUMBER($AF556),INDEX(IDX_SrcGrade,$AF556),"—")</f>
        <v>—</v>
      </c>
      <c r="U556" s="36" t="s">
        <v>587</v>
      </c>
      <c r="V556" s="186" t="n">
        <f aca="false">IF(AND($F556="原始數據",$U556&lt;&gt;"連結 SRC"),1,0)</f>
        <v>0</v>
      </c>
      <c r="W556" s="186" t="n">
        <f aca="false">IF(AND($F556="Analogy",OR($H556="—",$H556="")),1,0)</f>
        <v>0</v>
      </c>
      <c r="X556" s="186" t="n">
        <f aca="false">IF(AND(OR($F556="Analogy",$F556="Assumed"),$G556&lt;&gt;"低",$G556&lt;&gt;"高",NOT(ISNUMBER($K556)),NOT(ISNUMBER($L556)),OR($M556="—",$M556="")),1,0)</f>
        <v>0</v>
      </c>
      <c r="Y556" s="186" t="n">
        <f aca="false">IF(AND(OR($F556="Analogy",$F556="Assumed",$F556="Derived（待改公式）",$F556="Derived（公式）"),OR($N556="—",$N556="",$N556=0)),1,0)</f>
        <v>0</v>
      </c>
      <c r="Z556" s="186" t="n">
        <f aca="false">IF(AND($F556="Decision",OR($J556="—",$J556="")),1,0)</f>
        <v>0</v>
      </c>
      <c r="AA556" s="183" t="n">
        <f aca="false">IF(OR($J556="—",$J556=""),0,IF(COUNTIF(Decisions!$A$5:$A$300,$J556)=0,1,0))</f>
        <v>0</v>
      </c>
      <c r="AB556" s="186" t="n">
        <f aca="false">IF(AND($F556="原始數據",$S556&lt;&gt;"Active"),1,0)</f>
        <v>0</v>
      </c>
      <c r="AC556" s="186" t="n">
        <f aca="false">IF(AND(ISNUMBER($K556),ISNUMBER($L556),ISNUMBER($Q556)),IF(OR($Q556&lt;MIN($K556,$L556),$Q556&gt;MAX($K556,$L556)),1,0),0)</f>
        <v>0</v>
      </c>
      <c r="AD556" s="186" t="n">
        <f aca="false">IF(AND(ISNUMBER($T556),$P556="高"),IF($T556=3,1,0),0)</f>
        <v>0</v>
      </c>
      <c r="AE556" s="186" t="n">
        <f aca="false">IF($S556="不存在",1,0)</f>
        <v>0</v>
      </c>
      <c r="AF556" s="35" t="str">
        <f aca="false">IF(OR($H556="—",$H556=""),"—",MATCH($H556,IDX_SrcID,0))</f>
        <v>—</v>
      </c>
      <c r="AG556" s="104" t="n">
        <f aca="false">IF(AND($P556="高",OR($AD556=1,$X556=1)),1,0)</f>
        <v>0</v>
      </c>
      <c r="AH556" s="104" t="n">
        <f aca="false">IF(AND($P556="高",$AG556=0,OR($F556&lt;&gt;"原始數據",$T556&lt;&gt;1)),1,0)</f>
        <v>0</v>
      </c>
      <c r="AI556" s="53" t="str">
        <f aca="false">IF(AND($P556="高",ISNUMBER($AF556)),INDEX(IDX_SrcDate,$AF556),"—")</f>
        <v>—</v>
      </c>
      <c r="AJ556" s="104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6" t="s">
        <v>4672</v>
      </c>
      <c r="B557" s="215" t="s">
        <v>4244</v>
      </c>
      <c r="C557" s="36" t="s">
        <v>4226</v>
      </c>
      <c r="D557" s="36" t="s">
        <v>4673</v>
      </c>
      <c r="E557" s="19" t="s">
        <v>4674</v>
      </c>
      <c r="F557" s="215" t="s">
        <v>348</v>
      </c>
      <c r="G557" s="215" t="s">
        <v>3930</v>
      </c>
      <c r="H557" s="36" t="s">
        <v>587</v>
      </c>
      <c r="I557" s="6" t="s">
        <v>587</v>
      </c>
      <c r="J557" s="36" t="s">
        <v>587</v>
      </c>
      <c r="K557" s="215"/>
      <c r="L557" s="215"/>
      <c r="M557" s="36" t="s">
        <v>587</v>
      </c>
      <c r="N557" s="6" t="s">
        <v>4675</v>
      </c>
      <c r="O557" s="6" t="s">
        <v>587</v>
      </c>
      <c r="P557" s="215" t="s">
        <v>3188</v>
      </c>
      <c r="Q557" s="185" t="s">
        <v>587</v>
      </c>
      <c r="R557" s="36" t="s">
        <v>587</v>
      </c>
      <c r="S557" s="35" t="str">
        <f aca="false">IF(ISNUMBER($AF557),INDEX(IDX_SrcStat,$AF557),"—")</f>
        <v>—</v>
      </c>
      <c r="T557" s="35" t="str">
        <f aca="false">IF(ISNUMBER($AF557),INDEX(IDX_SrcGrade,$AF557),"—")</f>
        <v>—</v>
      </c>
      <c r="U557" s="36" t="s">
        <v>587</v>
      </c>
      <c r="V557" s="186" t="n">
        <f aca="false">IF(AND($F557="原始數據",$U557&lt;&gt;"連結 SRC"),1,0)</f>
        <v>0</v>
      </c>
      <c r="W557" s="186" t="n">
        <f aca="false">IF(AND($F557="Analogy",OR($H557="—",$H557="")),1,0)</f>
        <v>0</v>
      </c>
      <c r="X557" s="186" t="n">
        <f aca="false">IF(AND(OR($F557="Analogy",$F557="Assumed"),$G557&lt;&gt;"低",$G557&lt;&gt;"高",NOT(ISNUMBER($K557)),NOT(ISNUMBER($L557)),OR($M557="—",$M557="")),1,0)</f>
        <v>0</v>
      </c>
      <c r="Y557" s="186" t="n">
        <f aca="false">IF(AND(OR($F557="Analogy",$F557="Assumed",$F557="Derived（待改公式）",$F557="Derived（公式）"),OR($N557="—",$N557="",$N557=0)),1,0)</f>
        <v>0</v>
      </c>
      <c r="Z557" s="186" t="n">
        <f aca="false">IF(AND($F557="Decision",OR($J557="—",$J557="")),1,0)</f>
        <v>0</v>
      </c>
      <c r="AA557" s="183" t="n">
        <f aca="false">IF(OR($J557="—",$J557=""),0,IF(COUNTIF(Decisions!$A$5:$A$300,$J557)=0,1,0))</f>
        <v>0</v>
      </c>
      <c r="AB557" s="186" t="n">
        <f aca="false">IF(AND($F557="原始數據",$S557&lt;&gt;"Active"),1,0)</f>
        <v>0</v>
      </c>
      <c r="AC557" s="186" t="n">
        <f aca="false">IF(AND(ISNUMBER($K557),ISNUMBER($L557),ISNUMBER($Q557)),IF(OR($Q557&lt;MIN($K557,$L557),$Q557&gt;MAX($K557,$L557)),1,0),0)</f>
        <v>0</v>
      </c>
      <c r="AD557" s="186" t="n">
        <f aca="false">IF(AND(ISNUMBER($T557),$P557="高"),IF($T557=3,1,0),0)</f>
        <v>0</v>
      </c>
      <c r="AE557" s="186" t="n">
        <f aca="false">IF($S557="不存在",1,0)</f>
        <v>0</v>
      </c>
      <c r="AF557" s="35" t="str">
        <f aca="false">IF(OR($H557="—",$H557=""),"—",MATCH($H557,IDX_SrcID,0))</f>
        <v>—</v>
      </c>
      <c r="AG557" s="104" t="n">
        <f aca="false">IF(AND($P557="高",OR($AD557=1,$X557=1)),1,0)</f>
        <v>0</v>
      </c>
      <c r="AH557" s="104" t="n">
        <f aca="false">IF(AND($P557="高",$AG557=0,OR($F557&lt;&gt;"原始數據",$T557&lt;&gt;1)),1,0)</f>
        <v>0</v>
      </c>
      <c r="AI557" s="53" t="str">
        <f aca="false">IF(AND($P557="高",ISNUMBER($AF557)),INDEX(IDX_SrcDate,$AF557),"—")</f>
        <v>—</v>
      </c>
      <c r="AJ557" s="104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6" t="s">
        <v>4676</v>
      </c>
      <c r="B558" s="215" t="s">
        <v>4244</v>
      </c>
      <c r="C558" s="36" t="s">
        <v>4226</v>
      </c>
      <c r="D558" s="36" t="s">
        <v>4677</v>
      </c>
      <c r="E558" s="6" t="s">
        <v>1010</v>
      </c>
      <c r="F558" s="215" t="s">
        <v>348</v>
      </c>
      <c r="G558" s="215" t="s">
        <v>3930</v>
      </c>
      <c r="H558" s="36" t="s">
        <v>587</v>
      </c>
      <c r="I558" s="6" t="s">
        <v>587</v>
      </c>
      <c r="J558" s="36" t="s">
        <v>587</v>
      </c>
      <c r="K558" s="215"/>
      <c r="L558" s="215"/>
      <c r="M558" s="36" t="s">
        <v>587</v>
      </c>
      <c r="N558" s="6" t="s">
        <v>4678</v>
      </c>
      <c r="O558" s="6" t="s">
        <v>587</v>
      </c>
      <c r="P558" s="215" t="s">
        <v>3188</v>
      </c>
      <c r="Q558" s="185" t="s">
        <v>587</v>
      </c>
      <c r="R558" s="36" t="s">
        <v>587</v>
      </c>
      <c r="S558" s="35" t="str">
        <f aca="false">IF(ISNUMBER($AF558),INDEX(IDX_SrcStat,$AF558),"—")</f>
        <v>—</v>
      </c>
      <c r="T558" s="35" t="str">
        <f aca="false">IF(ISNUMBER($AF558),INDEX(IDX_SrcGrade,$AF558),"—")</f>
        <v>—</v>
      </c>
      <c r="U558" s="36" t="s">
        <v>587</v>
      </c>
      <c r="V558" s="186" t="n">
        <f aca="false">IF(AND($F558="原始數據",$U558&lt;&gt;"連結 SRC"),1,0)</f>
        <v>0</v>
      </c>
      <c r="W558" s="186" t="n">
        <f aca="false">IF(AND($F558="Analogy",OR($H558="—",$H558="")),1,0)</f>
        <v>0</v>
      </c>
      <c r="X558" s="186" t="n">
        <f aca="false">IF(AND(OR($F558="Analogy",$F558="Assumed"),$G558&lt;&gt;"低",$G558&lt;&gt;"高",NOT(ISNUMBER($K558)),NOT(ISNUMBER($L558)),OR($M558="—",$M558="")),1,0)</f>
        <v>0</v>
      </c>
      <c r="Y558" s="186" t="n">
        <f aca="false">IF(AND(OR($F558="Analogy",$F558="Assumed",$F558="Derived（待改公式）",$F558="Derived（公式）"),OR($N558="—",$N558="",$N558=0)),1,0)</f>
        <v>0</v>
      </c>
      <c r="Z558" s="186" t="n">
        <f aca="false">IF(AND($F558="Decision",OR($J558="—",$J558="")),1,0)</f>
        <v>0</v>
      </c>
      <c r="AA558" s="183" t="n">
        <f aca="false">IF(OR($J558="—",$J558=""),0,IF(COUNTIF(Decisions!$A$5:$A$300,$J558)=0,1,0))</f>
        <v>0</v>
      </c>
      <c r="AB558" s="186" t="n">
        <f aca="false">IF(AND($F558="原始數據",$S558&lt;&gt;"Active"),1,0)</f>
        <v>0</v>
      </c>
      <c r="AC558" s="186" t="n">
        <f aca="false">IF(AND(ISNUMBER($K558),ISNUMBER($L558),ISNUMBER($Q558)),IF(OR($Q558&lt;MIN($K558,$L558),$Q558&gt;MAX($K558,$L558)),1,0),0)</f>
        <v>0</v>
      </c>
      <c r="AD558" s="186" t="n">
        <f aca="false">IF(AND(ISNUMBER($T558),$P558="高"),IF($T558=3,1,0),0)</f>
        <v>0</v>
      </c>
      <c r="AE558" s="186" t="n">
        <f aca="false">IF($S558="不存在",1,0)</f>
        <v>0</v>
      </c>
      <c r="AF558" s="35" t="str">
        <f aca="false">IF(OR($H558="—",$H558=""),"—",MATCH($H558,IDX_SrcID,0))</f>
        <v>—</v>
      </c>
      <c r="AG558" s="104" t="n">
        <f aca="false">IF(AND($P558="高",OR($AD558=1,$X558=1)),1,0)</f>
        <v>0</v>
      </c>
      <c r="AH558" s="104" t="n">
        <f aca="false">IF(AND($P558="高",$AG558=0,OR($F558&lt;&gt;"原始數據",$T558&lt;&gt;1)),1,0)</f>
        <v>0</v>
      </c>
      <c r="AI558" s="53" t="str">
        <f aca="false">IF(AND($P558="高",ISNUMBER($AF558)),INDEX(IDX_SrcDate,$AF558),"—")</f>
        <v>—</v>
      </c>
      <c r="AJ558" s="104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6" t="s">
        <v>4679</v>
      </c>
      <c r="B559" s="215" t="s">
        <v>4244</v>
      </c>
      <c r="C559" s="36" t="s">
        <v>4226</v>
      </c>
      <c r="D559" s="36" t="s">
        <v>4680</v>
      </c>
      <c r="E559" s="19" t="s">
        <v>1064</v>
      </c>
      <c r="F559" s="215" t="s">
        <v>348</v>
      </c>
      <c r="G559" s="215" t="s">
        <v>3930</v>
      </c>
      <c r="H559" s="36" t="s">
        <v>587</v>
      </c>
      <c r="I559" s="6" t="s">
        <v>587</v>
      </c>
      <c r="J559" s="36" t="s">
        <v>587</v>
      </c>
      <c r="K559" s="215"/>
      <c r="L559" s="215"/>
      <c r="M559" s="36" t="s">
        <v>587</v>
      </c>
      <c r="N559" s="6" t="s">
        <v>4681</v>
      </c>
      <c r="O559" s="6" t="s">
        <v>587</v>
      </c>
      <c r="P559" s="215" t="s">
        <v>3188</v>
      </c>
      <c r="Q559" s="185" t="s">
        <v>587</v>
      </c>
      <c r="R559" s="36" t="s">
        <v>587</v>
      </c>
      <c r="S559" s="35" t="str">
        <f aca="false">IF(ISNUMBER($AF559),INDEX(IDX_SrcStat,$AF559),"—")</f>
        <v>—</v>
      </c>
      <c r="T559" s="35" t="str">
        <f aca="false">IF(ISNUMBER($AF559),INDEX(IDX_SrcGrade,$AF559),"—")</f>
        <v>—</v>
      </c>
      <c r="U559" s="36" t="s">
        <v>587</v>
      </c>
      <c r="V559" s="186" t="n">
        <f aca="false">IF(AND($F559="原始數據",$U559&lt;&gt;"連結 SRC"),1,0)</f>
        <v>0</v>
      </c>
      <c r="W559" s="186" t="n">
        <f aca="false">IF(AND($F559="Analogy",OR($H559="—",$H559="")),1,0)</f>
        <v>0</v>
      </c>
      <c r="X559" s="186" t="n">
        <f aca="false">IF(AND(OR($F559="Analogy",$F559="Assumed"),$G559&lt;&gt;"低",$G559&lt;&gt;"高",NOT(ISNUMBER($K559)),NOT(ISNUMBER($L559)),OR($M559="—",$M559="")),1,0)</f>
        <v>0</v>
      </c>
      <c r="Y559" s="186" t="n">
        <f aca="false">IF(AND(OR($F559="Analogy",$F559="Assumed",$F559="Derived（待改公式）",$F559="Derived（公式）"),OR($N559="—",$N559="",$N559=0)),1,0)</f>
        <v>0</v>
      </c>
      <c r="Z559" s="186" t="n">
        <f aca="false">IF(AND($F559="Decision",OR($J559="—",$J559="")),1,0)</f>
        <v>0</v>
      </c>
      <c r="AA559" s="183" t="n">
        <f aca="false">IF(OR($J559="—",$J559=""),0,IF(COUNTIF(Decisions!$A$5:$A$300,$J559)=0,1,0))</f>
        <v>0</v>
      </c>
      <c r="AB559" s="186" t="n">
        <f aca="false">IF(AND($F559="原始數據",$S559&lt;&gt;"Active"),1,0)</f>
        <v>0</v>
      </c>
      <c r="AC559" s="186" t="n">
        <f aca="false">IF(AND(ISNUMBER($K559),ISNUMBER($L559),ISNUMBER($Q559)),IF(OR($Q559&lt;MIN($K559,$L559),$Q559&gt;MAX($K559,$L559)),1,0),0)</f>
        <v>0</v>
      </c>
      <c r="AD559" s="186" t="n">
        <f aca="false">IF(AND(ISNUMBER($T559),$P559="高"),IF($T559=3,1,0),0)</f>
        <v>0</v>
      </c>
      <c r="AE559" s="186" t="n">
        <f aca="false">IF($S559="不存在",1,0)</f>
        <v>0</v>
      </c>
      <c r="AF559" s="35" t="str">
        <f aca="false">IF(OR($H559="—",$H559=""),"—",MATCH($H559,IDX_SrcID,0))</f>
        <v>—</v>
      </c>
      <c r="AG559" s="104" t="n">
        <f aca="false">IF(AND($P559="高",OR($AD559=1,$X559=1)),1,0)</f>
        <v>0</v>
      </c>
      <c r="AH559" s="104" t="n">
        <f aca="false">IF(AND($P559="高",$AG559=0,OR($F559&lt;&gt;"原始數據",$T559&lt;&gt;1)),1,0)</f>
        <v>0</v>
      </c>
      <c r="AI559" s="53" t="str">
        <f aca="false">IF(AND($P559="高",ISNUMBER($AF559)),INDEX(IDX_SrcDate,$AF559),"—")</f>
        <v>—</v>
      </c>
      <c r="AJ559" s="104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6" t="s">
        <v>4682</v>
      </c>
      <c r="B560" s="215" t="s">
        <v>4244</v>
      </c>
      <c r="C560" s="36" t="s">
        <v>4683</v>
      </c>
      <c r="D560" s="36" t="s">
        <v>4684</v>
      </c>
      <c r="E560" s="19" t="s">
        <v>419</v>
      </c>
      <c r="F560" s="215" t="s">
        <v>3929</v>
      </c>
      <c r="G560" s="215" t="s">
        <v>3930</v>
      </c>
      <c r="H560" s="36" t="s">
        <v>587</v>
      </c>
      <c r="I560" s="6" t="s">
        <v>587</v>
      </c>
      <c r="J560" s="36" t="s">
        <v>587</v>
      </c>
      <c r="K560" s="215"/>
      <c r="L560" s="215"/>
      <c r="M560" s="36" t="s">
        <v>587</v>
      </c>
      <c r="N560" s="19" t="s">
        <v>419</v>
      </c>
      <c r="O560" s="6" t="s">
        <v>587</v>
      </c>
      <c r="P560" s="215" t="s">
        <v>3188</v>
      </c>
      <c r="Q560" s="185" t="s">
        <v>587</v>
      </c>
      <c r="R560" s="36" t="s">
        <v>587</v>
      </c>
      <c r="S560" s="35" t="str">
        <f aca="false">IF(ISNUMBER($AF560),INDEX(IDX_SrcStat,$AF560),"—")</f>
        <v>—</v>
      </c>
      <c r="T560" s="35" t="str">
        <f aca="false">IF(ISNUMBER($AF560),INDEX(IDX_SrcGrade,$AF560),"—")</f>
        <v>—</v>
      </c>
      <c r="U560" s="36" t="s">
        <v>587</v>
      </c>
      <c r="V560" s="186" t="n">
        <f aca="false">IF(AND($F560="原始數據",$U560&lt;&gt;"連結 SRC"),1,0)</f>
        <v>0</v>
      </c>
      <c r="W560" s="186" t="n">
        <f aca="false">IF(AND($F560="Analogy",OR($H560="—",$H560="")),1,0)</f>
        <v>0</v>
      </c>
      <c r="X560" s="186" t="n">
        <f aca="false">IF(AND(OR($F560="Analogy",$F560="Assumed"),$G560&lt;&gt;"低",$G560&lt;&gt;"高",NOT(ISNUMBER($K560)),NOT(ISNUMBER($L560)),OR($M560="—",$M560="")),1,0)</f>
        <v>0</v>
      </c>
      <c r="Y560" s="186" t="n">
        <f aca="false">IF(AND(OR($F560="Analogy",$F560="Assumed",$F560="Derived（待改公式）",$F560="Derived（公式）"),OR($N560="—",$N560="",$N560=0)),1,0)</f>
        <v>0</v>
      </c>
      <c r="Z560" s="186" t="n">
        <f aca="false">IF(AND($F560="Decision",OR($J560="—",$J560="")),1,0)</f>
        <v>0</v>
      </c>
      <c r="AA560" s="183" t="n">
        <f aca="false">IF(OR($J560="—",$J560=""),0,IF(COUNTIF(Decisions!$A$5:$A$300,$J560)=0,1,0))</f>
        <v>0</v>
      </c>
      <c r="AB560" s="186" t="n">
        <f aca="false">IF(AND($F560="原始數據",$S560&lt;&gt;"Active"),1,0)</f>
        <v>0</v>
      </c>
      <c r="AC560" s="186" t="n">
        <f aca="false">IF(AND(ISNUMBER($K560),ISNUMBER($L560),ISNUMBER($Q560)),IF(OR($Q560&lt;MIN($K560,$L560),$Q560&gt;MAX($K560,$L560)),1,0),0)</f>
        <v>0</v>
      </c>
      <c r="AD560" s="186" t="n">
        <f aca="false">IF(AND(ISNUMBER($T560),$P560="高"),IF($T560=3,1,0),0)</f>
        <v>0</v>
      </c>
      <c r="AE560" s="186" t="n">
        <f aca="false">IF($S560="不存在",1,0)</f>
        <v>0</v>
      </c>
      <c r="AF560" s="35" t="str">
        <f aca="false">IF(OR($H560="—",$H560=""),"—",MATCH($H560,IDX_SrcID,0))</f>
        <v>—</v>
      </c>
      <c r="AG560" s="104" t="n">
        <f aca="false">IF(AND($P560="高",OR($AD560=1,$X560=1)),1,0)</f>
        <v>0</v>
      </c>
      <c r="AH560" s="104" t="n">
        <f aca="false">IF(AND($P560="高",$AG560=0,OR($F560&lt;&gt;"原始數據",$T560&lt;&gt;1)),1,0)</f>
        <v>0</v>
      </c>
      <c r="AI560" s="53" t="str">
        <f aca="false">IF(AND($P560="高",ISNUMBER($AF560)),INDEX(IDX_SrcDate,$AF560),"—")</f>
        <v>—</v>
      </c>
      <c r="AJ560" s="104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6" t="s">
        <v>4685</v>
      </c>
      <c r="B561" s="215" t="s">
        <v>4244</v>
      </c>
      <c r="C561" s="36" t="s">
        <v>4683</v>
      </c>
      <c r="D561" s="36" t="s">
        <v>4686</v>
      </c>
      <c r="E561" s="19" t="s">
        <v>690</v>
      </c>
      <c r="F561" s="215" t="s">
        <v>3929</v>
      </c>
      <c r="G561" s="215" t="s">
        <v>3930</v>
      </c>
      <c r="H561" s="36" t="s">
        <v>587</v>
      </c>
      <c r="I561" s="6" t="s">
        <v>587</v>
      </c>
      <c r="J561" s="36" t="s">
        <v>587</v>
      </c>
      <c r="K561" s="215"/>
      <c r="L561" s="215"/>
      <c r="M561" s="36" t="s">
        <v>587</v>
      </c>
      <c r="N561" s="19" t="s">
        <v>690</v>
      </c>
      <c r="O561" s="6" t="s">
        <v>587</v>
      </c>
      <c r="P561" s="215" t="s">
        <v>3188</v>
      </c>
      <c r="Q561" s="185" t="s">
        <v>587</v>
      </c>
      <c r="R561" s="36" t="s">
        <v>587</v>
      </c>
      <c r="S561" s="35" t="str">
        <f aca="false">IF(ISNUMBER($AF561),INDEX(IDX_SrcStat,$AF561),"—")</f>
        <v>—</v>
      </c>
      <c r="T561" s="35" t="str">
        <f aca="false">IF(ISNUMBER($AF561),INDEX(IDX_SrcGrade,$AF561),"—")</f>
        <v>—</v>
      </c>
      <c r="U561" s="36" t="s">
        <v>587</v>
      </c>
      <c r="V561" s="186" t="n">
        <f aca="false">IF(AND($F561="原始數據",$U561&lt;&gt;"連結 SRC"),1,0)</f>
        <v>0</v>
      </c>
      <c r="W561" s="186" t="n">
        <f aca="false">IF(AND($F561="Analogy",OR($H561="—",$H561="")),1,0)</f>
        <v>0</v>
      </c>
      <c r="X561" s="186" t="n">
        <f aca="false">IF(AND(OR($F561="Analogy",$F561="Assumed"),$G561&lt;&gt;"低",$G561&lt;&gt;"高",NOT(ISNUMBER($K561)),NOT(ISNUMBER($L561)),OR($M561="—",$M561="")),1,0)</f>
        <v>0</v>
      </c>
      <c r="Y561" s="186" t="n">
        <f aca="false">IF(AND(OR($F561="Analogy",$F561="Assumed",$F561="Derived（待改公式）",$F561="Derived（公式）"),OR($N561="—",$N561="",$N561=0)),1,0)</f>
        <v>0</v>
      </c>
      <c r="Z561" s="186" t="n">
        <f aca="false">IF(AND($F561="Decision",OR($J561="—",$J561="")),1,0)</f>
        <v>0</v>
      </c>
      <c r="AA561" s="183" t="n">
        <f aca="false">IF(OR($J561="—",$J561=""),0,IF(COUNTIF(Decisions!$A$5:$A$300,$J561)=0,1,0))</f>
        <v>0</v>
      </c>
      <c r="AB561" s="186" t="n">
        <f aca="false">IF(AND($F561="原始數據",$S561&lt;&gt;"Active"),1,0)</f>
        <v>0</v>
      </c>
      <c r="AC561" s="186" t="n">
        <f aca="false">IF(AND(ISNUMBER($K561),ISNUMBER($L561),ISNUMBER($Q561)),IF(OR($Q561&lt;MIN($K561,$L561),$Q561&gt;MAX($K561,$L561)),1,0),0)</f>
        <v>0</v>
      </c>
      <c r="AD561" s="186" t="n">
        <f aca="false">IF(AND(ISNUMBER($T561),$P561="高"),IF($T561=3,1,0),0)</f>
        <v>0</v>
      </c>
      <c r="AE561" s="186" t="n">
        <f aca="false">IF($S561="不存在",1,0)</f>
        <v>0</v>
      </c>
      <c r="AF561" s="35" t="str">
        <f aca="false">IF(OR($H561="—",$H561=""),"—",MATCH($H561,IDX_SrcID,0))</f>
        <v>—</v>
      </c>
      <c r="AG561" s="104" t="n">
        <f aca="false">IF(AND($P561="高",OR($AD561=1,$X561=1)),1,0)</f>
        <v>0</v>
      </c>
      <c r="AH561" s="104" t="n">
        <f aca="false">IF(AND($P561="高",$AG561=0,OR($F561&lt;&gt;"原始數據",$T561&lt;&gt;1)),1,0)</f>
        <v>0</v>
      </c>
      <c r="AI561" s="53" t="str">
        <f aca="false">IF(AND($P561="高",ISNUMBER($AF561)),INDEX(IDX_SrcDate,$AF561),"—")</f>
        <v>—</v>
      </c>
      <c r="AJ561" s="104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6" t="s">
        <v>4687</v>
      </c>
      <c r="B562" s="215" t="s">
        <v>4244</v>
      </c>
      <c r="C562" s="36" t="s">
        <v>4683</v>
      </c>
      <c r="D562" s="36" t="s">
        <v>4688</v>
      </c>
      <c r="E562" s="19" t="s">
        <v>4689</v>
      </c>
      <c r="F562" s="215" t="s">
        <v>348</v>
      </c>
      <c r="G562" s="215" t="s">
        <v>3930</v>
      </c>
      <c r="H562" s="36" t="s">
        <v>587</v>
      </c>
      <c r="I562" s="6" t="s">
        <v>587</v>
      </c>
      <c r="J562" s="36" t="s">
        <v>4690</v>
      </c>
      <c r="K562" s="215"/>
      <c r="L562" s="215"/>
      <c r="M562" s="36" t="s">
        <v>587</v>
      </c>
      <c r="N562" s="6" t="s">
        <v>4691</v>
      </c>
      <c r="O562" s="6" t="s">
        <v>587</v>
      </c>
      <c r="P562" s="215" t="s">
        <v>3188</v>
      </c>
      <c r="Q562" s="185" t="s">
        <v>587</v>
      </c>
      <c r="R562" s="36" t="s">
        <v>587</v>
      </c>
      <c r="S562" s="35" t="str">
        <f aca="false">IF(ISNUMBER($AF562),INDEX(IDX_SrcStat,$AF562),"—")</f>
        <v>—</v>
      </c>
      <c r="T562" s="35" t="str">
        <f aca="false">IF(ISNUMBER($AF562),INDEX(IDX_SrcGrade,$AF562),"—")</f>
        <v>—</v>
      </c>
      <c r="U562" s="36" t="s">
        <v>587</v>
      </c>
      <c r="V562" s="186" t="n">
        <f aca="false">IF(AND($F562="原始數據",$U562&lt;&gt;"連結 SRC"),1,0)</f>
        <v>0</v>
      </c>
      <c r="W562" s="186" t="n">
        <f aca="false">IF(AND($F562="Analogy",OR($H562="—",$H562="")),1,0)</f>
        <v>0</v>
      </c>
      <c r="X562" s="186" t="n">
        <f aca="false">IF(AND(OR($F562="Analogy",$F562="Assumed"),$G562&lt;&gt;"低",$G562&lt;&gt;"高",NOT(ISNUMBER($K562)),NOT(ISNUMBER($L562)),OR($M562="—",$M562="")),1,0)</f>
        <v>0</v>
      </c>
      <c r="Y562" s="186" t="n">
        <f aca="false">IF(AND(OR($F562="Analogy",$F562="Assumed",$F562="Derived（待改公式）",$F562="Derived（公式）"),OR($N562="—",$N562="",$N562=0)),1,0)</f>
        <v>0</v>
      </c>
      <c r="Z562" s="186" t="n">
        <f aca="false">IF(AND($F562="Decision",OR($J562="—",$J562="")),1,0)</f>
        <v>0</v>
      </c>
      <c r="AA562" s="183" t="n">
        <f aca="false">IF(OR($J562="—",$J562=""),0,IF(COUNTIF(Decisions!$A$5:$A$300,$J562)=0,1,0))</f>
        <v>0</v>
      </c>
      <c r="AB562" s="186" t="n">
        <f aca="false">IF(AND($F562="原始數據",$S562&lt;&gt;"Active"),1,0)</f>
        <v>0</v>
      </c>
      <c r="AC562" s="186" t="n">
        <f aca="false">IF(AND(ISNUMBER($K562),ISNUMBER($L562),ISNUMBER($Q562)),IF(OR($Q562&lt;MIN($K562,$L562),$Q562&gt;MAX($K562,$L562)),1,0),0)</f>
        <v>0</v>
      </c>
      <c r="AD562" s="186" t="n">
        <f aca="false">IF(AND(ISNUMBER($T562),$P562="高"),IF($T562=3,1,0),0)</f>
        <v>0</v>
      </c>
      <c r="AE562" s="186" t="n">
        <f aca="false">IF($S562="不存在",1,0)</f>
        <v>0</v>
      </c>
      <c r="AF562" s="35" t="str">
        <f aca="false">IF(OR($H562="—",$H562=""),"—",MATCH($H562,IDX_SrcID,0))</f>
        <v>—</v>
      </c>
      <c r="AG562" s="104" t="n">
        <f aca="false">IF(AND($P562="高",OR($AD562=1,$X562=1)),1,0)</f>
        <v>0</v>
      </c>
      <c r="AH562" s="104" t="n">
        <f aca="false">IF(AND($P562="高",$AG562=0,OR($F562&lt;&gt;"原始數據",$T562&lt;&gt;1)),1,0)</f>
        <v>0</v>
      </c>
      <c r="AI562" s="53" t="str">
        <f aca="false">IF(AND($P562="高",ISNUMBER($AF562)),INDEX(IDX_SrcDate,$AF562),"—")</f>
        <v>—</v>
      </c>
      <c r="AJ562" s="104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6" t="s">
        <v>4692</v>
      </c>
      <c r="B563" s="215" t="s">
        <v>4244</v>
      </c>
      <c r="C563" s="36" t="s">
        <v>2958</v>
      </c>
      <c r="D563" s="36" t="s">
        <v>4168</v>
      </c>
      <c r="E563" s="19" t="s">
        <v>419</v>
      </c>
      <c r="F563" s="215" t="s">
        <v>3929</v>
      </c>
      <c r="G563" s="215" t="s">
        <v>3930</v>
      </c>
      <c r="H563" s="36" t="s">
        <v>587</v>
      </c>
      <c r="I563" s="6" t="s">
        <v>587</v>
      </c>
      <c r="J563" s="36" t="s">
        <v>587</v>
      </c>
      <c r="K563" s="215"/>
      <c r="L563" s="215"/>
      <c r="M563" s="36" t="s">
        <v>587</v>
      </c>
      <c r="N563" s="19" t="s">
        <v>419</v>
      </c>
      <c r="O563" s="6" t="s">
        <v>587</v>
      </c>
      <c r="P563" s="215" t="s">
        <v>3188</v>
      </c>
      <c r="Q563" s="185" t="s">
        <v>587</v>
      </c>
      <c r="R563" s="36" t="s">
        <v>587</v>
      </c>
      <c r="S563" s="35" t="str">
        <f aca="false">IF(ISNUMBER($AF563),INDEX(IDX_SrcStat,$AF563),"—")</f>
        <v>—</v>
      </c>
      <c r="T563" s="35" t="str">
        <f aca="false">IF(ISNUMBER($AF563),INDEX(IDX_SrcGrade,$AF563),"—")</f>
        <v>—</v>
      </c>
      <c r="U563" s="36" t="s">
        <v>587</v>
      </c>
      <c r="V563" s="186" t="n">
        <f aca="false">IF(AND($F563="原始數據",$U563&lt;&gt;"連結 SRC"),1,0)</f>
        <v>0</v>
      </c>
      <c r="W563" s="186" t="n">
        <f aca="false">IF(AND($F563="Analogy",OR($H563="—",$H563="")),1,0)</f>
        <v>0</v>
      </c>
      <c r="X563" s="186" t="n">
        <f aca="false">IF(AND(OR($F563="Analogy",$F563="Assumed"),$G563&lt;&gt;"低",$G563&lt;&gt;"高",NOT(ISNUMBER($K563)),NOT(ISNUMBER($L563)),OR($M563="—",$M563="")),1,0)</f>
        <v>0</v>
      </c>
      <c r="Y563" s="186" t="n">
        <f aca="false">IF(AND(OR($F563="Analogy",$F563="Assumed",$F563="Derived（待改公式）",$F563="Derived（公式）"),OR($N563="—",$N563="",$N563=0)),1,0)</f>
        <v>0</v>
      </c>
      <c r="Z563" s="186" t="n">
        <f aca="false">IF(AND($F563="Decision",OR($J563="—",$J563="")),1,0)</f>
        <v>0</v>
      </c>
      <c r="AA563" s="183" t="n">
        <f aca="false">IF(OR($J563="—",$J563=""),0,IF(COUNTIF(Decisions!$A$5:$A$300,$J563)=0,1,0))</f>
        <v>0</v>
      </c>
      <c r="AB563" s="186" t="n">
        <f aca="false">IF(AND($F563="原始數據",$S563&lt;&gt;"Active"),1,0)</f>
        <v>0</v>
      </c>
      <c r="AC563" s="186" t="n">
        <f aca="false">IF(AND(ISNUMBER($K563),ISNUMBER($L563),ISNUMBER($Q563)),IF(OR($Q563&lt;MIN($K563,$L563),$Q563&gt;MAX($K563,$L563)),1,0),0)</f>
        <v>0</v>
      </c>
      <c r="AD563" s="186" t="n">
        <f aca="false">IF(AND(ISNUMBER($T563),$P563="高"),IF($T563=3,1,0),0)</f>
        <v>0</v>
      </c>
      <c r="AE563" s="186" t="n">
        <f aca="false">IF($S563="不存在",1,0)</f>
        <v>0</v>
      </c>
      <c r="AF563" s="35" t="str">
        <f aca="false">IF(OR($H563="—",$H563=""),"—",MATCH($H563,IDX_SrcID,0))</f>
        <v>—</v>
      </c>
      <c r="AG563" s="104" t="n">
        <f aca="false">IF(AND($P563="高",OR($AD563=1,$X563=1)),1,0)</f>
        <v>0</v>
      </c>
      <c r="AH563" s="104" t="n">
        <f aca="false">IF(AND($P563="高",$AG563=0,OR($F563&lt;&gt;"原始數據",$T563&lt;&gt;1)),1,0)</f>
        <v>0</v>
      </c>
      <c r="AI563" s="53" t="str">
        <f aca="false">IF(AND($P563="高",ISNUMBER($AF563)),INDEX(IDX_SrcDate,$AF563),"—")</f>
        <v>—</v>
      </c>
      <c r="AJ563" s="104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6" t="s">
        <v>4693</v>
      </c>
      <c r="B564" s="215" t="s">
        <v>4244</v>
      </c>
      <c r="C564" s="36" t="s">
        <v>2958</v>
      </c>
      <c r="D564" s="36" t="s">
        <v>4171</v>
      </c>
      <c r="E564" s="19" t="s">
        <v>690</v>
      </c>
      <c r="F564" s="215" t="s">
        <v>3929</v>
      </c>
      <c r="G564" s="215" t="s">
        <v>3930</v>
      </c>
      <c r="H564" s="36" t="s">
        <v>587</v>
      </c>
      <c r="I564" s="6" t="s">
        <v>587</v>
      </c>
      <c r="J564" s="36" t="s">
        <v>587</v>
      </c>
      <c r="K564" s="215"/>
      <c r="L564" s="215"/>
      <c r="M564" s="36" t="s">
        <v>587</v>
      </c>
      <c r="N564" s="19" t="s">
        <v>690</v>
      </c>
      <c r="O564" s="6" t="s">
        <v>587</v>
      </c>
      <c r="P564" s="215" t="s">
        <v>3188</v>
      </c>
      <c r="Q564" s="185" t="s">
        <v>587</v>
      </c>
      <c r="R564" s="36" t="s">
        <v>587</v>
      </c>
      <c r="S564" s="35" t="str">
        <f aca="false">IF(ISNUMBER($AF564),INDEX(IDX_SrcStat,$AF564),"—")</f>
        <v>—</v>
      </c>
      <c r="T564" s="35" t="str">
        <f aca="false">IF(ISNUMBER($AF564),INDEX(IDX_SrcGrade,$AF564),"—")</f>
        <v>—</v>
      </c>
      <c r="U564" s="36" t="s">
        <v>587</v>
      </c>
      <c r="V564" s="186" t="n">
        <f aca="false">IF(AND($F564="原始數據",$U564&lt;&gt;"連結 SRC"),1,0)</f>
        <v>0</v>
      </c>
      <c r="W564" s="186" t="n">
        <f aca="false">IF(AND($F564="Analogy",OR($H564="—",$H564="")),1,0)</f>
        <v>0</v>
      </c>
      <c r="X564" s="186" t="n">
        <f aca="false">IF(AND(OR($F564="Analogy",$F564="Assumed"),$G564&lt;&gt;"低",$G564&lt;&gt;"高",NOT(ISNUMBER($K564)),NOT(ISNUMBER($L564)),OR($M564="—",$M564="")),1,0)</f>
        <v>0</v>
      </c>
      <c r="Y564" s="186" t="n">
        <f aca="false">IF(AND(OR($F564="Analogy",$F564="Assumed",$F564="Derived（待改公式）",$F564="Derived（公式）"),OR($N564="—",$N564="",$N564=0)),1,0)</f>
        <v>0</v>
      </c>
      <c r="Z564" s="186" t="n">
        <f aca="false">IF(AND($F564="Decision",OR($J564="—",$J564="")),1,0)</f>
        <v>0</v>
      </c>
      <c r="AA564" s="183" t="n">
        <f aca="false">IF(OR($J564="—",$J564=""),0,IF(COUNTIF(Decisions!$A$5:$A$300,$J564)=0,1,0))</f>
        <v>0</v>
      </c>
      <c r="AB564" s="186" t="n">
        <f aca="false">IF(AND($F564="原始數據",$S564&lt;&gt;"Active"),1,0)</f>
        <v>0</v>
      </c>
      <c r="AC564" s="186" t="n">
        <f aca="false">IF(AND(ISNUMBER($K564),ISNUMBER($L564),ISNUMBER($Q564)),IF(OR($Q564&lt;MIN($K564,$L564),$Q564&gt;MAX($K564,$L564)),1,0),0)</f>
        <v>0</v>
      </c>
      <c r="AD564" s="186" t="n">
        <f aca="false">IF(AND(ISNUMBER($T564),$P564="高"),IF($T564=3,1,0),0)</f>
        <v>0</v>
      </c>
      <c r="AE564" s="186" t="n">
        <f aca="false">IF($S564="不存在",1,0)</f>
        <v>0</v>
      </c>
      <c r="AF564" s="35" t="str">
        <f aca="false">IF(OR($H564="—",$H564=""),"—",MATCH($H564,IDX_SrcID,0))</f>
        <v>—</v>
      </c>
      <c r="AG564" s="104" t="n">
        <f aca="false">IF(AND($P564="高",OR($AD564=1,$X564=1)),1,0)</f>
        <v>0</v>
      </c>
      <c r="AH564" s="104" t="n">
        <f aca="false">IF(AND($P564="高",$AG564=0,OR($F564&lt;&gt;"原始數據",$T564&lt;&gt;1)),1,0)</f>
        <v>0</v>
      </c>
      <c r="AI564" s="53" t="str">
        <f aca="false">IF(AND($P564="高",ISNUMBER($AF564)),INDEX(IDX_SrcDate,$AF564),"—")</f>
        <v>—</v>
      </c>
      <c r="AJ564" s="104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6" t="s">
        <v>4694</v>
      </c>
      <c r="B565" s="215" t="s">
        <v>4244</v>
      </c>
      <c r="C565" s="36" t="s">
        <v>4235</v>
      </c>
      <c r="D565" s="36" t="s">
        <v>4695</v>
      </c>
      <c r="E565" s="19" t="s">
        <v>4696</v>
      </c>
      <c r="F565" s="215" t="s">
        <v>348</v>
      </c>
      <c r="G565" s="215" t="s">
        <v>3930</v>
      </c>
      <c r="H565" s="36" t="s">
        <v>587</v>
      </c>
      <c r="I565" s="6" t="s">
        <v>587</v>
      </c>
      <c r="J565" s="36" t="s">
        <v>587</v>
      </c>
      <c r="K565" s="215"/>
      <c r="L565" s="215"/>
      <c r="M565" s="36" t="s">
        <v>587</v>
      </c>
      <c r="N565" s="6" t="s">
        <v>4697</v>
      </c>
      <c r="O565" s="6" t="s">
        <v>587</v>
      </c>
      <c r="P565" s="215" t="s">
        <v>3188</v>
      </c>
      <c r="Q565" s="185" t="s">
        <v>587</v>
      </c>
      <c r="R565" s="36" t="s">
        <v>587</v>
      </c>
      <c r="S565" s="35" t="str">
        <f aca="false">IF(ISNUMBER($AF565),INDEX(IDX_SrcStat,$AF565),"—")</f>
        <v>—</v>
      </c>
      <c r="T565" s="35" t="str">
        <f aca="false">IF(ISNUMBER($AF565),INDEX(IDX_SrcGrade,$AF565),"—")</f>
        <v>—</v>
      </c>
      <c r="U565" s="36" t="s">
        <v>587</v>
      </c>
      <c r="V565" s="186" t="n">
        <f aca="false">IF(AND($F565="原始數據",$U565&lt;&gt;"連結 SRC"),1,0)</f>
        <v>0</v>
      </c>
      <c r="W565" s="186" t="n">
        <f aca="false">IF(AND($F565="Analogy",OR($H565="—",$H565="")),1,0)</f>
        <v>0</v>
      </c>
      <c r="X565" s="186" t="n">
        <f aca="false">IF(AND(OR($F565="Analogy",$F565="Assumed"),$G565&lt;&gt;"低",$G565&lt;&gt;"高",NOT(ISNUMBER($K565)),NOT(ISNUMBER($L565)),OR($M565="—",$M565="")),1,0)</f>
        <v>0</v>
      </c>
      <c r="Y565" s="186" t="n">
        <f aca="false">IF(AND(OR($F565="Analogy",$F565="Assumed",$F565="Derived（待改公式）",$F565="Derived（公式）"),OR($N565="—",$N565="",$N565=0)),1,0)</f>
        <v>0</v>
      </c>
      <c r="Z565" s="186" t="n">
        <f aca="false">IF(AND($F565="Decision",OR($J565="—",$J565="")),1,0)</f>
        <v>0</v>
      </c>
      <c r="AA565" s="183" t="n">
        <f aca="false">IF(OR($J565="—",$J565=""),0,IF(COUNTIF(Decisions!$A$5:$A$300,$J565)=0,1,0))</f>
        <v>0</v>
      </c>
      <c r="AB565" s="186" t="n">
        <f aca="false">IF(AND($F565="原始數據",$S565&lt;&gt;"Active"),1,0)</f>
        <v>0</v>
      </c>
      <c r="AC565" s="186" t="n">
        <f aca="false">IF(AND(ISNUMBER($K565),ISNUMBER($L565),ISNUMBER($Q565)),IF(OR($Q565&lt;MIN($K565,$L565),$Q565&gt;MAX($K565,$L565)),1,0),0)</f>
        <v>0</v>
      </c>
      <c r="AD565" s="186" t="n">
        <f aca="false">IF(AND(ISNUMBER($T565),$P565="高"),IF($T565=3,1,0),0)</f>
        <v>0</v>
      </c>
      <c r="AE565" s="186" t="n">
        <f aca="false">IF($S565="不存在",1,0)</f>
        <v>0</v>
      </c>
      <c r="AF565" s="35" t="str">
        <f aca="false">IF(OR($H565="—",$H565=""),"—",MATCH($H565,IDX_SrcID,0))</f>
        <v>—</v>
      </c>
      <c r="AG565" s="104" t="n">
        <f aca="false">IF(AND($P565="高",OR($AD565=1,$X565=1)),1,0)</f>
        <v>0</v>
      </c>
      <c r="AH565" s="104" t="n">
        <f aca="false">IF(AND($P565="高",$AG565=0,OR($F565&lt;&gt;"原始數據",$T565&lt;&gt;1)),1,0)</f>
        <v>0</v>
      </c>
      <c r="AI565" s="53" t="str">
        <f aca="false">IF(AND($P565="高",ISNUMBER($AF565)),INDEX(IDX_SrcDate,$AF565),"—")</f>
        <v>—</v>
      </c>
      <c r="AJ565" s="104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6" t="s">
        <v>4698</v>
      </c>
      <c r="B566" s="215" t="s">
        <v>4244</v>
      </c>
      <c r="C566" s="36" t="s">
        <v>4235</v>
      </c>
      <c r="D566" s="36" t="s">
        <v>4699</v>
      </c>
      <c r="E566" s="19" t="s">
        <v>4700</v>
      </c>
      <c r="F566" s="215" t="s">
        <v>348</v>
      </c>
      <c r="G566" s="215" t="s">
        <v>3930</v>
      </c>
      <c r="H566" s="36" t="s">
        <v>587</v>
      </c>
      <c r="I566" s="6" t="s">
        <v>587</v>
      </c>
      <c r="J566" s="36" t="s">
        <v>587</v>
      </c>
      <c r="K566" s="215"/>
      <c r="L566" s="215"/>
      <c r="M566" s="36" t="s">
        <v>587</v>
      </c>
      <c r="N566" s="6" t="s">
        <v>4701</v>
      </c>
      <c r="O566" s="6" t="s">
        <v>587</v>
      </c>
      <c r="P566" s="215" t="s">
        <v>3188</v>
      </c>
      <c r="Q566" s="185" t="s">
        <v>587</v>
      </c>
      <c r="R566" s="36" t="s">
        <v>587</v>
      </c>
      <c r="S566" s="35" t="str">
        <f aca="false">IF(ISNUMBER($AF566),INDEX(IDX_SrcStat,$AF566),"—")</f>
        <v>—</v>
      </c>
      <c r="T566" s="35" t="str">
        <f aca="false">IF(ISNUMBER($AF566),INDEX(IDX_SrcGrade,$AF566),"—")</f>
        <v>—</v>
      </c>
      <c r="U566" s="36" t="s">
        <v>587</v>
      </c>
      <c r="V566" s="186" t="n">
        <f aca="false">IF(AND($F566="原始數據",$U566&lt;&gt;"連結 SRC"),1,0)</f>
        <v>0</v>
      </c>
      <c r="W566" s="186" t="n">
        <f aca="false">IF(AND($F566="Analogy",OR($H566="—",$H566="")),1,0)</f>
        <v>0</v>
      </c>
      <c r="X566" s="186" t="n">
        <f aca="false">IF(AND(OR($F566="Analogy",$F566="Assumed"),$G566&lt;&gt;"低",$G566&lt;&gt;"高",NOT(ISNUMBER($K566)),NOT(ISNUMBER($L566)),OR($M566="—",$M566="")),1,0)</f>
        <v>0</v>
      </c>
      <c r="Y566" s="186" t="n">
        <f aca="false">IF(AND(OR($F566="Analogy",$F566="Assumed",$F566="Derived（待改公式）",$F566="Derived（公式）"),OR($N566="—",$N566="",$N566=0)),1,0)</f>
        <v>0</v>
      </c>
      <c r="Z566" s="186" t="n">
        <f aca="false">IF(AND($F566="Decision",OR($J566="—",$J566="")),1,0)</f>
        <v>0</v>
      </c>
      <c r="AA566" s="183" t="n">
        <f aca="false">IF(OR($J566="—",$J566=""),0,IF(COUNTIF(Decisions!$A$5:$A$300,$J566)=0,1,0))</f>
        <v>0</v>
      </c>
      <c r="AB566" s="186" t="n">
        <f aca="false">IF(AND($F566="原始數據",$S566&lt;&gt;"Active"),1,0)</f>
        <v>0</v>
      </c>
      <c r="AC566" s="186" t="n">
        <f aca="false">IF(AND(ISNUMBER($K566),ISNUMBER($L566),ISNUMBER($Q566)),IF(OR($Q566&lt;MIN($K566,$L566),$Q566&gt;MAX($K566,$L566)),1,0),0)</f>
        <v>0</v>
      </c>
      <c r="AD566" s="186" t="n">
        <f aca="false">IF(AND(ISNUMBER($T566),$P566="高"),IF($T566=3,1,0),0)</f>
        <v>0</v>
      </c>
      <c r="AE566" s="186" t="n">
        <f aca="false">IF($S566="不存在",1,0)</f>
        <v>0</v>
      </c>
      <c r="AF566" s="35" t="str">
        <f aca="false">IF(OR($H566="—",$H566=""),"—",MATCH($H566,IDX_SrcID,0))</f>
        <v>—</v>
      </c>
      <c r="AG566" s="104" t="n">
        <f aca="false">IF(AND($P566="高",OR($AD566=1,$X566=1)),1,0)</f>
        <v>0</v>
      </c>
      <c r="AH566" s="104" t="n">
        <f aca="false">IF(AND($P566="高",$AG566=0,OR($F566&lt;&gt;"原始數據",$T566&lt;&gt;1)),1,0)</f>
        <v>0</v>
      </c>
      <c r="AI566" s="53" t="str">
        <f aca="false">IF(AND($P566="高",ISNUMBER($AF566)),INDEX(IDX_SrcDate,$AF566),"—")</f>
        <v>—</v>
      </c>
      <c r="AJ566" s="104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6" t="s">
        <v>4702</v>
      </c>
      <c r="B567" s="215" t="s">
        <v>4244</v>
      </c>
      <c r="C567" s="36" t="s">
        <v>4235</v>
      </c>
      <c r="D567" s="36" t="s">
        <v>4703</v>
      </c>
      <c r="E567" s="19" t="s">
        <v>4704</v>
      </c>
      <c r="F567" s="215" t="s">
        <v>348</v>
      </c>
      <c r="G567" s="215" t="s">
        <v>3930</v>
      </c>
      <c r="H567" s="36" t="s">
        <v>587</v>
      </c>
      <c r="I567" s="6" t="s">
        <v>587</v>
      </c>
      <c r="J567" s="36" t="s">
        <v>587</v>
      </c>
      <c r="K567" s="215"/>
      <c r="L567" s="215"/>
      <c r="M567" s="36" t="s">
        <v>587</v>
      </c>
      <c r="N567" s="6" t="s">
        <v>4705</v>
      </c>
      <c r="O567" s="6" t="s">
        <v>587</v>
      </c>
      <c r="P567" s="215" t="s">
        <v>3188</v>
      </c>
      <c r="Q567" s="185" t="s">
        <v>587</v>
      </c>
      <c r="R567" s="36" t="s">
        <v>587</v>
      </c>
      <c r="S567" s="35" t="str">
        <f aca="false">IF(ISNUMBER($AF567),INDEX(IDX_SrcStat,$AF567),"—")</f>
        <v>—</v>
      </c>
      <c r="T567" s="35" t="str">
        <f aca="false">IF(ISNUMBER($AF567),INDEX(IDX_SrcGrade,$AF567),"—")</f>
        <v>—</v>
      </c>
      <c r="U567" s="36" t="s">
        <v>587</v>
      </c>
      <c r="V567" s="186" t="n">
        <f aca="false">IF(AND($F567="原始數據",$U567&lt;&gt;"連結 SRC"),1,0)</f>
        <v>0</v>
      </c>
      <c r="W567" s="186" t="n">
        <f aca="false">IF(AND($F567="Analogy",OR($H567="—",$H567="")),1,0)</f>
        <v>0</v>
      </c>
      <c r="X567" s="186" t="n">
        <f aca="false">IF(AND(OR($F567="Analogy",$F567="Assumed"),$G567&lt;&gt;"低",$G567&lt;&gt;"高",NOT(ISNUMBER($K567)),NOT(ISNUMBER($L567)),OR($M567="—",$M567="")),1,0)</f>
        <v>0</v>
      </c>
      <c r="Y567" s="186" t="n">
        <f aca="false">IF(AND(OR($F567="Analogy",$F567="Assumed",$F567="Derived（待改公式）",$F567="Derived（公式）"),OR($N567="—",$N567="",$N567=0)),1,0)</f>
        <v>0</v>
      </c>
      <c r="Z567" s="186" t="n">
        <f aca="false">IF(AND($F567="Decision",OR($J567="—",$J567="")),1,0)</f>
        <v>0</v>
      </c>
      <c r="AA567" s="183" t="n">
        <f aca="false">IF(OR($J567="—",$J567=""),0,IF(COUNTIF(Decisions!$A$5:$A$300,$J567)=0,1,0))</f>
        <v>0</v>
      </c>
      <c r="AB567" s="186" t="n">
        <f aca="false">IF(AND($F567="原始數據",$S567&lt;&gt;"Active"),1,0)</f>
        <v>0</v>
      </c>
      <c r="AC567" s="186" t="n">
        <f aca="false">IF(AND(ISNUMBER($K567),ISNUMBER($L567),ISNUMBER($Q567)),IF(OR($Q567&lt;MIN($K567,$L567),$Q567&gt;MAX($K567,$L567)),1,0),0)</f>
        <v>0</v>
      </c>
      <c r="AD567" s="186" t="n">
        <f aca="false">IF(AND(ISNUMBER($T567),$P567="高"),IF($T567=3,1,0),0)</f>
        <v>0</v>
      </c>
      <c r="AE567" s="186" t="n">
        <f aca="false">IF($S567="不存在",1,0)</f>
        <v>0</v>
      </c>
      <c r="AF567" s="35" t="str">
        <f aca="false">IF(OR($H567="—",$H567=""),"—",MATCH($H567,IDX_SrcID,0))</f>
        <v>—</v>
      </c>
      <c r="AG567" s="104" t="n">
        <f aca="false">IF(AND($P567="高",OR($AD567=1,$X567=1)),1,0)</f>
        <v>0</v>
      </c>
      <c r="AH567" s="104" t="n">
        <f aca="false">IF(AND($P567="高",$AG567=0,OR($F567&lt;&gt;"原始數據",$T567&lt;&gt;1)),1,0)</f>
        <v>0</v>
      </c>
      <c r="AI567" s="53" t="str">
        <f aca="false">IF(AND($P567="高",ISNUMBER($AF567)),INDEX(IDX_SrcDate,$AF567),"—")</f>
        <v>—</v>
      </c>
      <c r="AJ567" s="104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6" t="s">
        <v>4706</v>
      </c>
      <c r="B568" s="215" t="s">
        <v>4244</v>
      </c>
      <c r="C568" s="36" t="s">
        <v>4235</v>
      </c>
      <c r="D568" s="36" t="s">
        <v>4707</v>
      </c>
      <c r="E568" s="19" t="s">
        <v>4708</v>
      </c>
      <c r="F568" s="215" t="s">
        <v>348</v>
      </c>
      <c r="G568" s="215" t="s">
        <v>3930</v>
      </c>
      <c r="H568" s="36" t="s">
        <v>587</v>
      </c>
      <c r="I568" s="6" t="s">
        <v>587</v>
      </c>
      <c r="J568" s="36" t="s">
        <v>587</v>
      </c>
      <c r="K568" s="215"/>
      <c r="L568" s="215"/>
      <c r="M568" s="36" t="s">
        <v>587</v>
      </c>
      <c r="N568" s="6" t="s">
        <v>4709</v>
      </c>
      <c r="O568" s="6" t="s">
        <v>587</v>
      </c>
      <c r="P568" s="215" t="s">
        <v>3188</v>
      </c>
      <c r="Q568" s="185" t="s">
        <v>587</v>
      </c>
      <c r="R568" s="36" t="s">
        <v>587</v>
      </c>
      <c r="S568" s="35" t="str">
        <f aca="false">IF(ISNUMBER($AF568),INDEX(IDX_SrcStat,$AF568),"—")</f>
        <v>—</v>
      </c>
      <c r="T568" s="35" t="str">
        <f aca="false">IF(ISNUMBER($AF568),INDEX(IDX_SrcGrade,$AF568),"—")</f>
        <v>—</v>
      </c>
      <c r="U568" s="36" t="s">
        <v>587</v>
      </c>
      <c r="V568" s="186" t="n">
        <f aca="false">IF(AND($F568="原始數據",$U568&lt;&gt;"連結 SRC"),1,0)</f>
        <v>0</v>
      </c>
      <c r="W568" s="186" t="n">
        <f aca="false">IF(AND($F568="Analogy",OR($H568="—",$H568="")),1,0)</f>
        <v>0</v>
      </c>
      <c r="X568" s="186" t="n">
        <f aca="false">IF(AND(OR($F568="Analogy",$F568="Assumed"),$G568&lt;&gt;"低",$G568&lt;&gt;"高",NOT(ISNUMBER($K568)),NOT(ISNUMBER($L568)),OR($M568="—",$M568="")),1,0)</f>
        <v>0</v>
      </c>
      <c r="Y568" s="186" t="n">
        <f aca="false">IF(AND(OR($F568="Analogy",$F568="Assumed",$F568="Derived（待改公式）",$F568="Derived（公式）"),OR($N568="—",$N568="",$N568=0)),1,0)</f>
        <v>0</v>
      </c>
      <c r="Z568" s="186" t="n">
        <f aca="false">IF(AND($F568="Decision",OR($J568="—",$J568="")),1,0)</f>
        <v>0</v>
      </c>
      <c r="AA568" s="183" t="n">
        <f aca="false">IF(OR($J568="—",$J568=""),0,IF(COUNTIF(Decisions!$A$5:$A$300,$J568)=0,1,0))</f>
        <v>0</v>
      </c>
      <c r="AB568" s="186" t="n">
        <f aca="false">IF(AND($F568="原始數據",$S568&lt;&gt;"Active"),1,0)</f>
        <v>0</v>
      </c>
      <c r="AC568" s="186" t="n">
        <f aca="false">IF(AND(ISNUMBER($K568),ISNUMBER($L568),ISNUMBER($Q568)),IF(OR($Q568&lt;MIN($K568,$L568),$Q568&gt;MAX($K568,$L568)),1,0),0)</f>
        <v>0</v>
      </c>
      <c r="AD568" s="186" t="n">
        <f aca="false">IF(AND(ISNUMBER($T568),$P568="高"),IF($T568=3,1,0),0)</f>
        <v>0</v>
      </c>
      <c r="AE568" s="186" t="n">
        <f aca="false">IF($S568="不存在",1,0)</f>
        <v>0</v>
      </c>
      <c r="AF568" s="35" t="str">
        <f aca="false">IF(OR($H568="—",$H568=""),"—",MATCH($H568,IDX_SrcID,0))</f>
        <v>—</v>
      </c>
      <c r="AG568" s="104" t="n">
        <f aca="false">IF(AND($P568="高",OR($AD568=1,$X568=1)),1,0)</f>
        <v>0</v>
      </c>
      <c r="AH568" s="104" t="n">
        <f aca="false">IF(AND($P568="高",$AG568=0,OR($F568&lt;&gt;"原始數據",$T568&lt;&gt;1)),1,0)</f>
        <v>0</v>
      </c>
      <c r="AI568" s="53" t="str">
        <f aca="false">IF(AND($P568="高",ISNUMBER($AF568)),INDEX(IDX_SrcDate,$AF568),"—")</f>
        <v>—</v>
      </c>
      <c r="AJ568" s="104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6" t="s">
        <v>4710</v>
      </c>
      <c r="B569" s="215" t="s">
        <v>4244</v>
      </c>
      <c r="C569" s="36" t="s">
        <v>4235</v>
      </c>
      <c r="D569" s="36" t="s">
        <v>4711</v>
      </c>
      <c r="E569" s="19" t="s">
        <v>4712</v>
      </c>
      <c r="F569" s="215" t="s">
        <v>348</v>
      </c>
      <c r="G569" s="215" t="s">
        <v>3930</v>
      </c>
      <c r="H569" s="36" t="s">
        <v>587</v>
      </c>
      <c r="I569" s="6" t="s">
        <v>587</v>
      </c>
      <c r="J569" s="36" t="s">
        <v>587</v>
      </c>
      <c r="K569" s="215"/>
      <c r="L569" s="215"/>
      <c r="M569" s="36" t="s">
        <v>587</v>
      </c>
      <c r="N569" s="6" t="s">
        <v>4713</v>
      </c>
      <c r="O569" s="6" t="s">
        <v>587</v>
      </c>
      <c r="P569" s="215" t="s">
        <v>3188</v>
      </c>
      <c r="Q569" s="185" t="s">
        <v>587</v>
      </c>
      <c r="R569" s="36" t="s">
        <v>587</v>
      </c>
      <c r="S569" s="35" t="str">
        <f aca="false">IF(ISNUMBER($AF569),INDEX(IDX_SrcStat,$AF569),"—")</f>
        <v>—</v>
      </c>
      <c r="T569" s="35" t="str">
        <f aca="false">IF(ISNUMBER($AF569),INDEX(IDX_SrcGrade,$AF569),"—")</f>
        <v>—</v>
      </c>
      <c r="U569" s="36" t="s">
        <v>587</v>
      </c>
      <c r="V569" s="186" t="n">
        <f aca="false">IF(AND($F569="原始數據",$U569&lt;&gt;"連結 SRC"),1,0)</f>
        <v>0</v>
      </c>
      <c r="W569" s="186" t="n">
        <f aca="false">IF(AND($F569="Analogy",OR($H569="—",$H569="")),1,0)</f>
        <v>0</v>
      </c>
      <c r="X569" s="186" t="n">
        <f aca="false">IF(AND(OR($F569="Analogy",$F569="Assumed"),$G569&lt;&gt;"低",$G569&lt;&gt;"高",NOT(ISNUMBER($K569)),NOT(ISNUMBER($L569)),OR($M569="—",$M569="")),1,0)</f>
        <v>0</v>
      </c>
      <c r="Y569" s="186" t="n">
        <f aca="false">IF(AND(OR($F569="Analogy",$F569="Assumed",$F569="Derived（待改公式）",$F569="Derived（公式）"),OR($N569="—",$N569="",$N569=0)),1,0)</f>
        <v>0</v>
      </c>
      <c r="Z569" s="186" t="n">
        <f aca="false">IF(AND($F569="Decision",OR($J569="—",$J569="")),1,0)</f>
        <v>0</v>
      </c>
      <c r="AA569" s="183" t="n">
        <f aca="false">IF(OR($J569="—",$J569=""),0,IF(COUNTIF(Decisions!$A$5:$A$300,$J569)=0,1,0))</f>
        <v>0</v>
      </c>
      <c r="AB569" s="186" t="n">
        <f aca="false">IF(AND($F569="原始數據",$S569&lt;&gt;"Active"),1,0)</f>
        <v>0</v>
      </c>
      <c r="AC569" s="186" t="n">
        <f aca="false">IF(AND(ISNUMBER($K569),ISNUMBER($L569),ISNUMBER($Q569)),IF(OR($Q569&lt;MIN($K569,$L569),$Q569&gt;MAX($K569,$L569)),1,0),0)</f>
        <v>0</v>
      </c>
      <c r="AD569" s="186" t="n">
        <f aca="false">IF(AND(ISNUMBER($T569),$P569="高"),IF($T569=3,1,0),0)</f>
        <v>0</v>
      </c>
      <c r="AE569" s="186" t="n">
        <f aca="false">IF($S569="不存在",1,0)</f>
        <v>0</v>
      </c>
      <c r="AF569" s="35" t="str">
        <f aca="false">IF(OR($H569="—",$H569=""),"—",MATCH($H569,IDX_SrcID,0))</f>
        <v>—</v>
      </c>
      <c r="AG569" s="104" t="n">
        <f aca="false">IF(AND($P569="高",OR($AD569=1,$X569=1)),1,0)</f>
        <v>0</v>
      </c>
      <c r="AH569" s="104" t="n">
        <f aca="false">IF(AND($P569="高",$AG569=0,OR($F569&lt;&gt;"原始數據",$T569&lt;&gt;1)),1,0)</f>
        <v>0</v>
      </c>
      <c r="AI569" s="53" t="str">
        <f aca="false">IF(AND($P569="高",ISNUMBER($AF569)),INDEX(IDX_SrcDate,$AF569),"—")</f>
        <v>—</v>
      </c>
      <c r="AJ569" s="104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6" t="s">
        <v>4714</v>
      </c>
      <c r="B570" s="215" t="s">
        <v>4244</v>
      </c>
      <c r="C570" s="36" t="s">
        <v>4235</v>
      </c>
      <c r="D570" s="36" t="s">
        <v>4715</v>
      </c>
      <c r="E570" s="6" t="s">
        <v>1452</v>
      </c>
      <c r="F570" s="215" t="s">
        <v>348</v>
      </c>
      <c r="G570" s="215" t="s">
        <v>3930</v>
      </c>
      <c r="H570" s="36" t="s">
        <v>587</v>
      </c>
      <c r="I570" s="6" t="s">
        <v>587</v>
      </c>
      <c r="J570" s="36" t="s">
        <v>587</v>
      </c>
      <c r="K570" s="215"/>
      <c r="L570" s="215"/>
      <c r="M570" s="36" t="s">
        <v>587</v>
      </c>
      <c r="N570" s="6" t="s">
        <v>4716</v>
      </c>
      <c r="O570" s="6" t="s">
        <v>587</v>
      </c>
      <c r="P570" s="215" t="s">
        <v>3188</v>
      </c>
      <c r="Q570" s="183" t="n">
        <f aca="false">Sens_Rev!B17</f>
        <v>7</v>
      </c>
      <c r="R570" s="36" t="s">
        <v>587</v>
      </c>
      <c r="S570" s="35" t="str">
        <f aca="false">IF(ISNUMBER($AF570),INDEX(IDX_SrcStat,$AF570),"—")</f>
        <v>—</v>
      </c>
      <c r="T570" s="35" t="str">
        <f aca="false">IF(ISNUMBER($AF570),INDEX(IDX_SrcGrade,$AF570),"—")</f>
        <v>—</v>
      </c>
      <c r="U570" s="35" t="s">
        <v>3189</v>
      </c>
      <c r="V570" s="186" t="n">
        <f aca="false">IF(AND($F570="原始數據",$U570&lt;&gt;"連結 SRC"),1,0)</f>
        <v>0</v>
      </c>
      <c r="W570" s="186" t="n">
        <f aca="false">IF(AND($F570="Analogy",OR($H570="—",$H570="")),1,0)</f>
        <v>0</v>
      </c>
      <c r="X570" s="186" t="n">
        <f aca="false">IF(AND(OR($F570="Analogy",$F570="Assumed"),$G570&lt;&gt;"低",$G570&lt;&gt;"高",NOT(ISNUMBER($K570)),NOT(ISNUMBER($L570)),OR($M570="—",$M570="")),1,0)</f>
        <v>0</v>
      </c>
      <c r="Y570" s="186" t="n">
        <f aca="false">IF(AND(OR($F570="Analogy",$F570="Assumed",$F570="Derived（待改公式）",$F570="Derived（公式）"),OR($N570="—",$N570="",$N570=0)),1,0)</f>
        <v>0</v>
      </c>
      <c r="Z570" s="186" t="n">
        <f aca="false">IF(AND($F570="Decision",OR($J570="—",$J570="")),1,0)</f>
        <v>0</v>
      </c>
      <c r="AA570" s="183" t="n">
        <f aca="false">IF(OR($J570="—",$J570=""),0,IF(COUNTIF(Decisions!$A$5:$A$300,$J570)=0,1,0))</f>
        <v>0</v>
      </c>
      <c r="AB570" s="186" t="n">
        <f aca="false">IF(AND($F570="原始數據",$S570&lt;&gt;"Active"),1,0)</f>
        <v>0</v>
      </c>
      <c r="AC570" s="186" t="n">
        <f aca="false">IF(AND(ISNUMBER($K570),ISNUMBER($L570),ISNUMBER($Q570)),IF(OR($Q570&lt;MIN($K570,$L570),$Q570&gt;MAX($K570,$L570)),1,0),0)</f>
        <v>0</v>
      </c>
      <c r="AD570" s="186" t="n">
        <f aca="false">IF(AND(ISNUMBER($T570),$P570="高"),IF($T570=3,1,0),0)</f>
        <v>0</v>
      </c>
      <c r="AE570" s="186" t="n">
        <f aca="false">IF($S570="不存在",1,0)</f>
        <v>0</v>
      </c>
      <c r="AF570" s="35" t="str">
        <f aca="false">IF(OR($H570="—",$H570=""),"—",MATCH($H570,IDX_SrcID,0))</f>
        <v>—</v>
      </c>
      <c r="AG570" s="104" t="n">
        <f aca="false">IF(AND($P570="高",OR($AD570=1,$X570=1)),1,0)</f>
        <v>0</v>
      </c>
      <c r="AH570" s="104" t="n">
        <f aca="false">IF(AND($P570="高",$AG570=0,OR($F570&lt;&gt;"原始數據",$T570&lt;&gt;1)),1,0)</f>
        <v>0</v>
      </c>
      <c r="AI570" s="53" t="str">
        <f aca="false">IF(AND($P570="高",ISNUMBER($AF570)),INDEX(IDX_SrcDate,$AF570),"—")</f>
        <v>—</v>
      </c>
      <c r="AJ570" s="104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6" t="s">
        <v>4717</v>
      </c>
      <c r="B571" s="215" t="s">
        <v>4244</v>
      </c>
      <c r="C571" s="36" t="s">
        <v>4235</v>
      </c>
      <c r="D571" s="36" t="s">
        <v>4718</v>
      </c>
      <c r="E571" s="19" t="s">
        <v>4719</v>
      </c>
      <c r="F571" s="215" t="s">
        <v>348</v>
      </c>
      <c r="G571" s="215" t="s">
        <v>3930</v>
      </c>
      <c r="H571" s="36" t="s">
        <v>587</v>
      </c>
      <c r="I571" s="6" t="s">
        <v>587</v>
      </c>
      <c r="J571" s="36" t="s">
        <v>587</v>
      </c>
      <c r="K571" s="215"/>
      <c r="L571" s="215"/>
      <c r="M571" s="36" t="s">
        <v>587</v>
      </c>
      <c r="N571" s="6" t="s">
        <v>4720</v>
      </c>
      <c r="O571" s="6" t="s">
        <v>587</v>
      </c>
      <c r="P571" s="215" t="s">
        <v>3188</v>
      </c>
      <c r="Q571" s="185" t="s">
        <v>587</v>
      </c>
      <c r="R571" s="36" t="s">
        <v>587</v>
      </c>
      <c r="S571" s="35" t="str">
        <f aca="false">IF(ISNUMBER($AF571),INDEX(IDX_SrcStat,$AF571),"—")</f>
        <v>—</v>
      </c>
      <c r="T571" s="35" t="str">
        <f aca="false">IF(ISNUMBER($AF571),INDEX(IDX_SrcGrade,$AF571),"—")</f>
        <v>—</v>
      </c>
      <c r="U571" s="36" t="s">
        <v>587</v>
      </c>
      <c r="V571" s="186" t="n">
        <f aca="false">IF(AND($F571="原始數據",$U571&lt;&gt;"連結 SRC"),1,0)</f>
        <v>0</v>
      </c>
      <c r="W571" s="186" t="n">
        <f aca="false">IF(AND($F571="Analogy",OR($H571="—",$H571="")),1,0)</f>
        <v>0</v>
      </c>
      <c r="X571" s="186" t="n">
        <f aca="false">IF(AND(OR($F571="Analogy",$F571="Assumed"),$G571&lt;&gt;"低",$G571&lt;&gt;"高",NOT(ISNUMBER($K571)),NOT(ISNUMBER($L571)),OR($M571="—",$M571="")),1,0)</f>
        <v>0</v>
      </c>
      <c r="Y571" s="186" t="n">
        <f aca="false">IF(AND(OR($F571="Analogy",$F571="Assumed",$F571="Derived（待改公式）",$F571="Derived（公式）"),OR($N571="—",$N571="",$N571=0)),1,0)</f>
        <v>0</v>
      </c>
      <c r="Z571" s="186" t="n">
        <f aca="false">IF(AND($F571="Decision",OR($J571="—",$J571="")),1,0)</f>
        <v>0</v>
      </c>
      <c r="AA571" s="183" t="n">
        <f aca="false">IF(OR($J571="—",$J571=""),0,IF(COUNTIF(Decisions!$A$5:$A$300,$J571)=0,1,0))</f>
        <v>0</v>
      </c>
      <c r="AB571" s="186" t="n">
        <f aca="false">IF(AND($F571="原始數據",$S571&lt;&gt;"Active"),1,0)</f>
        <v>0</v>
      </c>
      <c r="AC571" s="186" t="n">
        <f aca="false">IF(AND(ISNUMBER($K571),ISNUMBER($L571),ISNUMBER($Q571)),IF(OR($Q571&lt;MIN($K571,$L571),$Q571&gt;MAX($K571,$L571)),1,0),0)</f>
        <v>0</v>
      </c>
      <c r="AD571" s="186" t="n">
        <f aca="false">IF(AND(ISNUMBER($T571),$P571="高"),IF($T571=3,1,0),0)</f>
        <v>0</v>
      </c>
      <c r="AE571" s="186" t="n">
        <f aca="false">IF($S571="不存在",1,0)</f>
        <v>0</v>
      </c>
      <c r="AF571" s="35" t="str">
        <f aca="false">IF(OR($H571="—",$H571=""),"—",MATCH($H571,IDX_SrcID,0))</f>
        <v>—</v>
      </c>
      <c r="AG571" s="104" t="n">
        <f aca="false">IF(AND($P571="高",OR($AD571=1,$X571=1)),1,0)</f>
        <v>0</v>
      </c>
      <c r="AH571" s="104" t="n">
        <f aca="false">IF(AND($P571="高",$AG571=0,OR($F571&lt;&gt;"原始數據",$T571&lt;&gt;1)),1,0)</f>
        <v>0</v>
      </c>
      <c r="AI571" s="53" t="str">
        <f aca="false">IF(AND($P571="高",ISNUMBER($AF571)),INDEX(IDX_SrcDate,$AF571),"—")</f>
        <v>—</v>
      </c>
      <c r="AJ571" s="104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6" t="s">
        <v>4721</v>
      </c>
      <c r="B572" s="215" t="s">
        <v>4244</v>
      </c>
      <c r="C572" s="36" t="s">
        <v>4722</v>
      </c>
      <c r="D572" s="36" t="s">
        <v>4723</v>
      </c>
      <c r="E572" s="19" t="s">
        <v>78</v>
      </c>
      <c r="F572" s="215" t="s">
        <v>348</v>
      </c>
      <c r="G572" s="215" t="s">
        <v>3930</v>
      </c>
      <c r="H572" s="36" t="s">
        <v>587</v>
      </c>
      <c r="I572" s="6" t="s">
        <v>587</v>
      </c>
      <c r="J572" s="36" t="s">
        <v>587</v>
      </c>
      <c r="K572" s="215"/>
      <c r="L572" s="215"/>
      <c r="M572" s="36" t="s">
        <v>587</v>
      </c>
      <c r="N572" s="19" t="s">
        <v>4724</v>
      </c>
      <c r="O572" s="6" t="s">
        <v>587</v>
      </c>
      <c r="P572" s="36" t="s">
        <v>587</v>
      </c>
      <c r="Q572" s="185" t="s">
        <v>587</v>
      </c>
      <c r="R572" s="36" t="s">
        <v>587</v>
      </c>
      <c r="S572" s="35" t="str">
        <f aca="false">IF(ISNUMBER($AF572),INDEX(IDX_SrcStat,$AF572),"—")</f>
        <v>—</v>
      </c>
      <c r="T572" s="35" t="str">
        <f aca="false">IF(ISNUMBER($AF572),INDEX(IDX_SrcGrade,$AF572),"—")</f>
        <v>—</v>
      </c>
      <c r="U572" s="36" t="s">
        <v>587</v>
      </c>
      <c r="V572" s="186" t="n">
        <f aca="false">IF(AND($F572="原始數據",$U572&lt;&gt;"連結 SRC"),1,0)</f>
        <v>0</v>
      </c>
      <c r="W572" s="186" t="n">
        <f aca="false">IF(AND($F572="Analogy",OR($H572="—",$H572="")),1,0)</f>
        <v>0</v>
      </c>
      <c r="X572" s="186" t="n">
        <f aca="false">IF(AND(OR($F572="Analogy",$F572="Assumed"),$G572&lt;&gt;"低",$G572&lt;&gt;"高",NOT(ISNUMBER($K572)),NOT(ISNUMBER($L572)),OR($M572="—",$M572="")),1,0)</f>
        <v>0</v>
      </c>
      <c r="Y572" s="186" t="n">
        <f aca="false">IF(AND(OR($F572="Analogy",$F572="Assumed",$F572="Derived（待改公式）",$F572="Derived（公式）"),OR($N572="—",$N572="",$N572=0)),1,0)</f>
        <v>0</v>
      </c>
      <c r="Z572" s="186" t="n">
        <f aca="false">IF(AND($F572="Decision",OR($J572="—",$J572="")),1,0)</f>
        <v>0</v>
      </c>
      <c r="AA572" s="183" t="n">
        <f aca="false">IF(OR($J572="—",$J572=""),0,IF(COUNTIF(Decisions!$A$5:$A$300,$J572)=0,1,0))</f>
        <v>0</v>
      </c>
      <c r="AB572" s="186" t="n">
        <f aca="false">IF(AND($F572="原始數據",$S572&lt;&gt;"Active"),1,0)</f>
        <v>0</v>
      </c>
      <c r="AC572" s="186" t="n">
        <f aca="false">IF(AND(ISNUMBER($K572),ISNUMBER($L572),ISNUMBER($Q572)),IF(OR($Q572&lt;MIN($K572,$L572),$Q572&gt;MAX($K572,$L572)),1,0),0)</f>
        <v>0</v>
      </c>
      <c r="AD572" s="186" t="n">
        <f aca="false">IF(AND(ISNUMBER($T572),$P572="高"),IF($T572=3,1,0),0)</f>
        <v>0</v>
      </c>
      <c r="AE572" s="186" t="n">
        <f aca="false">IF($S572="不存在",1,0)</f>
        <v>0</v>
      </c>
      <c r="AF572" s="35" t="str">
        <f aca="false">IF(OR($H572="—",$H572=""),"—",MATCH($H572,IDX_SrcID,0))</f>
        <v>—</v>
      </c>
      <c r="AG572" s="104" t="n">
        <f aca="false">IF(AND($P572="高",OR($AD572=1,$X572=1)),1,0)</f>
        <v>0</v>
      </c>
      <c r="AH572" s="104" t="n">
        <f aca="false">IF(AND($P572="高",$AG572=0,OR($F572&lt;&gt;"原始數據",$T572&lt;&gt;1)),1,0)</f>
        <v>0</v>
      </c>
      <c r="AI572" s="53" t="str">
        <f aca="false">IF(AND($P572="高",ISNUMBER($AF572)),INDEX(IDX_SrcDate,$AF572),"—")</f>
        <v>—</v>
      </c>
      <c r="AJ572" s="104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6" t="s">
        <v>4725</v>
      </c>
      <c r="B573" s="215" t="s">
        <v>4244</v>
      </c>
      <c r="C573" s="36" t="s">
        <v>4722</v>
      </c>
      <c r="D573" s="36" t="s">
        <v>4726</v>
      </c>
      <c r="E573" s="6" t="s">
        <v>862</v>
      </c>
      <c r="F573" s="215" t="s">
        <v>348</v>
      </c>
      <c r="G573" s="215" t="s">
        <v>3930</v>
      </c>
      <c r="H573" s="36" t="s">
        <v>587</v>
      </c>
      <c r="I573" s="6" t="s">
        <v>587</v>
      </c>
      <c r="J573" s="36" t="s">
        <v>587</v>
      </c>
      <c r="K573" s="215"/>
      <c r="L573" s="215"/>
      <c r="M573" s="36" t="s">
        <v>587</v>
      </c>
      <c r="N573" s="6" t="s">
        <v>4727</v>
      </c>
      <c r="O573" s="6" t="s">
        <v>587</v>
      </c>
      <c r="P573" s="215" t="s">
        <v>3188</v>
      </c>
      <c r="Q573" s="183" t="n">
        <f aca="false">Sensitivity!N37</f>
        <v>7</v>
      </c>
      <c r="R573" s="36" t="s">
        <v>587</v>
      </c>
      <c r="S573" s="35" t="str">
        <f aca="false">IF(ISNUMBER($AF573),INDEX(IDX_SrcStat,$AF573),"—")</f>
        <v>—</v>
      </c>
      <c r="T573" s="35" t="str">
        <f aca="false">IF(ISNUMBER($AF573),INDEX(IDX_SrcGrade,$AF573),"—")</f>
        <v>—</v>
      </c>
      <c r="U573" s="35" t="s">
        <v>3189</v>
      </c>
      <c r="V573" s="186" t="n">
        <f aca="false">IF(AND($F573="原始數據",$U573&lt;&gt;"連結 SRC"),1,0)</f>
        <v>0</v>
      </c>
      <c r="W573" s="186" t="n">
        <f aca="false">IF(AND($F573="Analogy",OR($H573="—",$H573="")),1,0)</f>
        <v>0</v>
      </c>
      <c r="X573" s="186" t="n">
        <f aca="false">IF(AND(OR($F573="Analogy",$F573="Assumed"),$G573&lt;&gt;"低",$G573&lt;&gt;"高",NOT(ISNUMBER($K573)),NOT(ISNUMBER($L573)),OR($M573="—",$M573="")),1,0)</f>
        <v>0</v>
      </c>
      <c r="Y573" s="186" t="n">
        <f aca="false">IF(AND(OR($F573="Analogy",$F573="Assumed",$F573="Derived（待改公式）",$F573="Derived（公式）"),OR($N573="—",$N573="",$N573=0)),1,0)</f>
        <v>0</v>
      </c>
      <c r="Z573" s="186" t="n">
        <f aca="false">IF(AND($F573="Decision",OR($J573="—",$J573="")),1,0)</f>
        <v>0</v>
      </c>
      <c r="AA573" s="183" t="n">
        <f aca="false">IF(OR($J573="—",$J573=""),0,IF(COUNTIF(Decisions!$A$5:$A$300,$J573)=0,1,0))</f>
        <v>0</v>
      </c>
      <c r="AB573" s="186" t="n">
        <f aca="false">IF(AND($F573="原始數據",$S573&lt;&gt;"Active"),1,0)</f>
        <v>0</v>
      </c>
      <c r="AC573" s="186" t="n">
        <f aca="false">IF(AND(ISNUMBER($K573),ISNUMBER($L573),ISNUMBER($Q573)),IF(OR($Q573&lt;MIN($K573,$L573),$Q573&gt;MAX($K573,$L573)),1,0),0)</f>
        <v>0</v>
      </c>
      <c r="AD573" s="186" t="n">
        <f aca="false">IF(AND(ISNUMBER($T573),$P573="高"),IF($T573=3,1,0),0)</f>
        <v>0</v>
      </c>
      <c r="AE573" s="186" t="n">
        <f aca="false">IF($S573="不存在",1,0)</f>
        <v>0</v>
      </c>
      <c r="AF573" s="35" t="str">
        <f aca="false">IF(OR($H573="—",$H573=""),"—",MATCH($H573,IDX_SrcID,0))</f>
        <v>—</v>
      </c>
      <c r="AG573" s="104" t="n">
        <f aca="false">IF(AND($P573="高",OR($AD573=1,$X573=1)),1,0)</f>
        <v>0</v>
      </c>
      <c r="AH573" s="104" t="n">
        <f aca="false">IF(AND($P573="高",$AG573=0,OR($F573&lt;&gt;"原始數據",$T573&lt;&gt;1)),1,0)</f>
        <v>0</v>
      </c>
      <c r="AI573" s="53" t="str">
        <f aca="false">IF(AND($P573="高",ISNUMBER($AF573)),INDEX(IDX_SrcDate,$AF573),"—")</f>
        <v>—</v>
      </c>
      <c r="AJ573" s="104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6" t="s">
        <v>4728</v>
      </c>
      <c r="B574" s="215" t="s">
        <v>4729</v>
      </c>
      <c r="C574" s="36" t="s">
        <v>3661</v>
      </c>
      <c r="D574" s="36" t="s">
        <v>4730</v>
      </c>
      <c r="E574" s="19" t="s">
        <v>4731</v>
      </c>
      <c r="F574" s="36" t="s">
        <v>80</v>
      </c>
      <c r="G574" s="215" t="s">
        <v>3930</v>
      </c>
      <c r="H574" s="36" t="s">
        <v>587</v>
      </c>
      <c r="I574" s="6" t="s">
        <v>587</v>
      </c>
      <c r="J574" s="36" t="s">
        <v>587</v>
      </c>
      <c r="K574" s="215" t="n">
        <v>4</v>
      </c>
      <c r="L574" s="215" t="n">
        <v>130</v>
      </c>
      <c r="M574" s="36" t="s">
        <v>4732</v>
      </c>
      <c r="N574" s="6" t="s">
        <v>4733</v>
      </c>
      <c r="O574" s="6" t="s">
        <v>587</v>
      </c>
      <c r="P574" s="36" t="s">
        <v>587</v>
      </c>
      <c r="Q574" s="185" t="s">
        <v>587</v>
      </c>
      <c r="R574" s="36" t="s">
        <v>587</v>
      </c>
      <c r="S574" s="35" t="str">
        <f aca="false">IF(ISNUMBER($AF574),INDEX(IDX_SrcStat,$AF574),"—")</f>
        <v>—</v>
      </c>
      <c r="T574" s="35" t="str">
        <f aca="false">IF(ISNUMBER($AF574),INDEX(IDX_SrcGrade,$AF574),"—")</f>
        <v>—</v>
      </c>
      <c r="U574" s="36" t="s">
        <v>587</v>
      </c>
      <c r="V574" s="186" t="n">
        <f aca="false">IF(AND($F574="原始數據",$U574&lt;&gt;"連結 SRC"),1,0)</f>
        <v>0</v>
      </c>
      <c r="W574" s="186" t="n">
        <f aca="false">IF(AND($F574="Analogy",OR($H574="—",$H574="")),1,0)</f>
        <v>0</v>
      </c>
      <c r="X574" s="186" t="n">
        <f aca="false">IF(AND(OR($F574="Analogy",$F574="Assumed"),$G574&lt;&gt;"低",$G574&lt;&gt;"高",NOT(ISNUMBER($K574)),NOT(ISNUMBER($L574)),OR($M574="—",$M574="")),1,0)</f>
        <v>0</v>
      </c>
      <c r="Y574" s="186" t="n">
        <f aca="false">IF(AND(OR($F574="Analogy",$F574="Assumed",$F574="Derived（待改公式）",$F574="Derived（公式）"),OR($N574="—",$N574="",$N574=0)),1,0)</f>
        <v>0</v>
      </c>
      <c r="Z574" s="186" t="n">
        <f aca="false">IF(AND($F574="Decision",OR($J574="—",$J574="")),1,0)</f>
        <v>0</v>
      </c>
      <c r="AA574" s="183" t="n">
        <f aca="false">IF(OR($J574="—",$J574=""),0,IF(COUNTIF(Decisions!$A$5:$A$300,$J574)=0,1,0))</f>
        <v>0</v>
      </c>
      <c r="AB574" s="186" t="n">
        <f aca="false">IF(AND($F574="原始數據",$S574&lt;&gt;"Active"),1,0)</f>
        <v>0</v>
      </c>
      <c r="AC574" s="186" t="n">
        <f aca="false">IF(AND(ISNUMBER($K574),ISNUMBER($L574),ISNUMBER($Q574)),IF(OR($Q574&lt;MIN($K574,$L574),$Q574&gt;MAX($K574,$L574)),1,0),0)</f>
        <v>0</v>
      </c>
      <c r="AD574" s="186" t="n">
        <f aca="false">IF(AND(ISNUMBER($T574),$P574="高"),IF($T574=3,1,0),0)</f>
        <v>0</v>
      </c>
      <c r="AE574" s="186" t="n">
        <f aca="false">IF($S574="不存在",1,0)</f>
        <v>0</v>
      </c>
      <c r="AF574" s="35" t="str">
        <f aca="false">IF(OR($H574="—",$H574=""),"—",MATCH($H574,IDX_SrcID,0))</f>
        <v>—</v>
      </c>
      <c r="AG574" s="104" t="n">
        <f aca="false">IF(AND($P574="高",OR($AD574=1,$X574=1)),1,0)</f>
        <v>0</v>
      </c>
      <c r="AH574" s="104" t="n">
        <f aca="false">IF(AND($P574="高",$AG574=0,OR($F574&lt;&gt;"原始數據",$T574&lt;&gt;1)),1,0)</f>
        <v>0</v>
      </c>
      <c r="AI574" s="53" t="str">
        <f aca="false">IF(AND($P574="高",ISNUMBER($AF574)),INDEX(IDX_SrcDate,$AF574),"—")</f>
        <v>—</v>
      </c>
      <c r="AJ574" s="104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6" t="s">
        <v>4734</v>
      </c>
      <c r="B575" s="215" t="s">
        <v>4729</v>
      </c>
      <c r="C575" s="36" t="s">
        <v>3661</v>
      </c>
      <c r="D575" s="36" t="s">
        <v>3309</v>
      </c>
      <c r="E575" s="6" t="s">
        <v>289</v>
      </c>
      <c r="F575" s="36" t="s">
        <v>84</v>
      </c>
      <c r="G575" s="215" t="s">
        <v>3185</v>
      </c>
      <c r="H575" s="36" t="s">
        <v>4069</v>
      </c>
      <c r="I575" s="19" t="s">
        <v>4735</v>
      </c>
      <c r="J575" s="36" t="s">
        <v>587</v>
      </c>
      <c r="K575" s="215"/>
      <c r="L575" s="215"/>
      <c r="M575" s="215" t="s">
        <v>3102</v>
      </c>
      <c r="N575" s="6" t="s">
        <v>4736</v>
      </c>
      <c r="O575" s="6" t="s">
        <v>587</v>
      </c>
      <c r="P575" s="215" t="s">
        <v>1115</v>
      </c>
      <c r="Q575" s="41" t="n">
        <f aca="false">Arch!E35</f>
        <v>576</v>
      </c>
      <c r="R575" s="185" t="n">
        <f aca="false">SRC_MOD_028</f>
        <v>576</v>
      </c>
      <c r="S575" s="35" t="str">
        <f aca="false">IF(ISNUMBER($AF575),INDEX(IDX_SrcStat,$AF575),"—")</f>
        <v>Active</v>
      </c>
      <c r="T575" s="35" t="n">
        <f aca="false">IF(ISNUMBER($AF575),INDEX(IDX_SrcGrade,$AF575),"—")</f>
        <v>3</v>
      </c>
      <c r="U575" s="35" t="s">
        <v>3189</v>
      </c>
      <c r="V575" s="186" t="n">
        <f aca="false">IF(AND($F575="原始數據",$U575&lt;&gt;"連結 SRC"),1,0)</f>
        <v>0</v>
      </c>
      <c r="W575" s="186" t="n">
        <f aca="false">IF(AND($F575="Analogy",OR($H575="—",$H575="")),1,0)</f>
        <v>0</v>
      </c>
      <c r="X575" s="186" t="n">
        <f aca="false">IF(AND(OR($F575="Analogy",$F575="Assumed"),$G575&lt;&gt;"低",$G575&lt;&gt;"高",NOT(ISNUMBER($K575)),NOT(ISNUMBER($L575)),OR($M575="—",$M575="")),1,0)</f>
        <v>0</v>
      </c>
      <c r="Y575" s="186" t="n">
        <f aca="false">IF(AND(OR($F575="Analogy",$F575="Assumed",$F575="Derived（待改公式）",$F575="Derived（公式）"),OR($N575="—",$N575="",$N575=0)),1,0)</f>
        <v>0</v>
      </c>
      <c r="Z575" s="186" t="n">
        <f aca="false">IF(AND($F575="Decision",OR($J575="—",$J575="")),1,0)</f>
        <v>0</v>
      </c>
      <c r="AA575" s="183" t="n">
        <f aca="false">IF(OR($J575="—",$J575=""),0,IF(COUNTIF(Decisions!$A$5:$A$300,$J575)=0,1,0))</f>
        <v>0</v>
      </c>
      <c r="AB575" s="186" t="n">
        <f aca="false">IF(AND($F575="原始數據",$S575&lt;&gt;"Active"),1,0)</f>
        <v>0</v>
      </c>
      <c r="AC575" s="186" t="n">
        <f aca="false">IF(AND(ISNUMBER($K575),ISNUMBER($L575),ISNUMBER($Q575)),IF(OR($Q575&lt;MIN($K575,$L575),$Q575&gt;MAX($K575,$L575)),1,0),0)</f>
        <v>0</v>
      </c>
      <c r="AD575" s="186" t="n">
        <f aca="false">IF(AND(ISNUMBER($T575),$P575="高"),IF($T575=3,1,0),0)</f>
        <v>0</v>
      </c>
      <c r="AE575" s="186" t="n">
        <f aca="false">IF($S575="不存在",1,0)</f>
        <v>0</v>
      </c>
      <c r="AF575" s="35" t="n">
        <f aca="false">IF(OR($H575="—",$H575=""),"—",MATCH($H575,IDX_SrcID,0))</f>
        <v>205</v>
      </c>
      <c r="AG575" s="104" t="n">
        <f aca="false">IF(AND($P575="高",OR($AD575=1,$X575=1)),1,0)</f>
        <v>0</v>
      </c>
      <c r="AH575" s="104" t="n">
        <f aca="false">IF(AND($P575="高",$AG575=0,OR($F575&lt;&gt;"原始數據",$T575&lt;&gt;1)),1,0)</f>
        <v>0</v>
      </c>
      <c r="AI575" s="53" t="str">
        <f aca="false">IF(AND($P575="高",ISNUMBER($AF575)),INDEX(IDX_SrcDate,$AF575),"—")</f>
        <v>—</v>
      </c>
      <c r="AJ575" s="104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6" t="s">
        <v>4737</v>
      </c>
      <c r="B576" s="215" t="s">
        <v>4729</v>
      </c>
      <c r="C576" s="36" t="s">
        <v>3661</v>
      </c>
      <c r="D576" s="36" t="s">
        <v>4738</v>
      </c>
      <c r="E576" s="6" t="s">
        <v>292</v>
      </c>
      <c r="F576" s="36" t="s">
        <v>80</v>
      </c>
      <c r="G576" s="215" t="s">
        <v>3185</v>
      </c>
      <c r="H576" s="36" t="s">
        <v>587</v>
      </c>
      <c r="I576" s="6" t="s">
        <v>587</v>
      </c>
      <c r="J576" s="36" t="s">
        <v>587</v>
      </c>
      <c r="K576" s="217" t="n">
        <v>0.15</v>
      </c>
      <c r="L576" s="217" t="n">
        <v>0.5</v>
      </c>
      <c r="M576" s="36" t="s">
        <v>4739</v>
      </c>
      <c r="N576" s="6" t="s">
        <v>4740</v>
      </c>
      <c r="O576" s="6" t="s">
        <v>587</v>
      </c>
      <c r="P576" s="215" t="s">
        <v>3188</v>
      </c>
      <c r="Q576" s="177" t="n">
        <f aca="false">Arch!E36</f>
        <v>0.26</v>
      </c>
      <c r="R576" s="36" t="s">
        <v>587</v>
      </c>
      <c r="S576" s="35" t="str">
        <f aca="false">IF(ISNUMBER($AF576),INDEX(IDX_SrcStat,$AF576),"—")</f>
        <v>—</v>
      </c>
      <c r="T576" s="35" t="str">
        <f aca="false">IF(ISNUMBER($AF576),INDEX(IDX_SrcGrade,$AF576),"—")</f>
        <v>—</v>
      </c>
      <c r="U576" s="35" t="s">
        <v>3189</v>
      </c>
      <c r="V576" s="186" t="n">
        <f aca="false">IF(AND($F576="原始數據",$U576&lt;&gt;"連結 SRC"),1,0)</f>
        <v>0</v>
      </c>
      <c r="W576" s="186" t="n">
        <f aca="false">IF(AND($F576="Analogy",OR($H576="—",$H576="")),1,0)</f>
        <v>0</v>
      </c>
      <c r="X576" s="186" t="n">
        <f aca="false">IF(AND(OR($F576="Analogy",$F576="Assumed"),$G576&lt;&gt;"低",$G576&lt;&gt;"高",NOT(ISNUMBER($K576)),NOT(ISNUMBER($L576)),OR($M576="—",$M576="")),1,0)</f>
        <v>0</v>
      </c>
      <c r="Y576" s="186" t="n">
        <f aca="false">IF(AND(OR($F576="Analogy",$F576="Assumed",$F576="Derived（待改公式）",$F576="Derived（公式）"),OR($N576="—",$N576="",$N576=0)),1,0)</f>
        <v>0</v>
      </c>
      <c r="Z576" s="186" t="n">
        <f aca="false">IF(AND($F576="Decision",OR($J576="—",$J576="")),1,0)</f>
        <v>0</v>
      </c>
      <c r="AA576" s="183" t="n">
        <f aca="false">IF(OR($J576="—",$J576=""),0,IF(COUNTIF(Decisions!$A$5:$A$300,$J576)=0,1,0))</f>
        <v>0</v>
      </c>
      <c r="AB576" s="186" t="n">
        <f aca="false">IF(AND($F576="原始數據",$S576&lt;&gt;"Active"),1,0)</f>
        <v>0</v>
      </c>
      <c r="AC576" s="186" t="n">
        <f aca="false">IF(AND(ISNUMBER($K576),ISNUMBER($L576),ISNUMBER($Q576)),IF(OR($Q576&lt;MIN($K576,$L576),$Q576&gt;MAX($K576,$L576)),1,0),0)</f>
        <v>0</v>
      </c>
      <c r="AD576" s="186" t="n">
        <f aca="false">IF(AND(ISNUMBER($T576),$P576="高"),IF($T576=3,1,0),0)</f>
        <v>0</v>
      </c>
      <c r="AE576" s="186" t="n">
        <f aca="false">IF($S576="不存在",1,0)</f>
        <v>0</v>
      </c>
      <c r="AF576" s="35" t="str">
        <f aca="false">IF(OR($H576="—",$H576=""),"—",MATCH($H576,IDX_SrcID,0))</f>
        <v>—</v>
      </c>
      <c r="AG576" s="104" t="n">
        <f aca="false">IF(AND($P576="高",OR($AD576=1,$X576=1)),1,0)</f>
        <v>0</v>
      </c>
      <c r="AH576" s="104" t="n">
        <f aca="false">IF(AND($P576="高",$AG576=0,OR($F576&lt;&gt;"原始數據",$T576&lt;&gt;1)),1,0)</f>
        <v>0</v>
      </c>
      <c r="AI576" s="53" t="str">
        <f aca="false">IF(AND($P576="高",ISNUMBER($AF576)),INDEX(IDX_SrcDate,$AF576),"—")</f>
        <v>—</v>
      </c>
      <c r="AJ576" s="104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6" t="s">
        <v>4741</v>
      </c>
      <c r="B577" s="215" t="s">
        <v>4729</v>
      </c>
      <c r="C577" s="36" t="s">
        <v>3661</v>
      </c>
      <c r="D577" s="36" t="s">
        <v>4742</v>
      </c>
      <c r="E577" s="6" t="s">
        <v>294</v>
      </c>
      <c r="F577" s="36" t="s">
        <v>80</v>
      </c>
      <c r="G577" s="215" t="s">
        <v>3185</v>
      </c>
      <c r="H577" s="36" t="s">
        <v>587</v>
      </c>
      <c r="I577" s="6" t="s">
        <v>587</v>
      </c>
      <c r="J577" s="36" t="s">
        <v>587</v>
      </c>
      <c r="K577" s="215"/>
      <c r="L577" s="215"/>
      <c r="M577" s="215" t="s">
        <v>3102</v>
      </c>
      <c r="N577" s="6" t="s">
        <v>4743</v>
      </c>
      <c r="O577" s="6" t="s">
        <v>587</v>
      </c>
      <c r="P577" s="215" t="s">
        <v>3188</v>
      </c>
      <c r="Q577" s="41" t="n">
        <f aca="false">Arch!E37</f>
        <v>8</v>
      </c>
      <c r="R577" s="36" t="s">
        <v>587</v>
      </c>
      <c r="S577" s="35" t="str">
        <f aca="false">IF(ISNUMBER($AF577),INDEX(IDX_SrcStat,$AF577),"—")</f>
        <v>—</v>
      </c>
      <c r="T577" s="35" t="str">
        <f aca="false">IF(ISNUMBER($AF577),INDEX(IDX_SrcGrade,$AF577),"—")</f>
        <v>—</v>
      </c>
      <c r="U577" s="35" t="s">
        <v>3189</v>
      </c>
      <c r="V577" s="186" t="n">
        <f aca="false">IF(AND($F577="原始數據",$U577&lt;&gt;"連結 SRC"),1,0)</f>
        <v>0</v>
      </c>
      <c r="W577" s="186" t="n">
        <f aca="false">IF(AND($F577="Analogy",OR($H577="—",$H577="")),1,0)</f>
        <v>0</v>
      </c>
      <c r="X577" s="186" t="n">
        <f aca="false">IF(AND(OR($F577="Analogy",$F577="Assumed"),$G577&lt;&gt;"低",$G577&lt;&gt;"高",NOT(ISNUMBER($K577)),NOT(ISNUMBER($L577)),OR($M577="—",$M577="")),1,0)</f>
        <v>0</v>
      </c>
      <c r="Y577" s="186" t="n">
        <f aca="false">IF(AND(OR($F577="Analogy",$F577="Assumed",$F577="Derived（待改公式）",$F577="Derived（公式）"),OR($N577="—",$N577="",$N577=0)),1,0)</f>
        <v>0</v>
      </c>
      <c r="Z577" s="186" t="n">
        <f aca="false">IF(AND($F577="Decision",OR($J577="—",$J577="")),1,0)</f>
        <v>0</v>
      </c>
      <c r="AA577" s="183" t="n">
        <f aca="false">IF(OR($J577="—",$J577=""),0,IF(COUNTIF(Decisions!$A$5:$A$300,$J577)=0,1,0))</f>
        <v>0</v>
      </c>
      <c r="AB577" s="186" t="n">
        <f aca="false">IF(AND($F577="原始數據",$S577&lt;&gt;"Active"),1,0)</f>
        <v>0</v>
      </c>
      <c r="AC577" s="186" t="n">
        <f aca="false">IF(AND(ISNUMBER($K577),ISNUMBER($L577),ISNUMBER($Q577)),IF(OR($Q577&lt;MIN($K577,$L577),$Q577&gt;MAX($K577,$L577)),1,0),0)</f>
        <v>0</v>
      </c>
      <c r="AD577" s="186" t="n">
        <f aca="false">IF(AND(ISNUMBER($T577),$P577="高"),IF($T577=3,1,0),0)</f>
        <v>0</v>
      </c>
      <c r="AE577" s="186" t="n">
        <f aca="false">IF($S577="不存在",1,0)</f>
        <v>0</v>
      </c>
      <c r="AF577" s="35" t="str">
        <f aca="false">IF(OR($H577="—",$H577=""),"—",MATCH($H577,IDX_SrcID,0))</f>
        <v>—</v>
      </c>
      <c r="AG577" s="104" t="n">
        <f aca="false">IF(AND($P577="高",OR($AD577=1,$X577=1)),1,0)</f>
        <v>0</v>
      </c>
      <c r="AH577" s="104" t="n">
        <f aca="false">IF(AND($P577="高",$AG577=0,OR($F577&lt;&gt;"原始數據",$T577&lt;&gt;1)),1,0)</f>
        <v>0</v>
      </c>
      <c r="AI577" s="53" t="str">
        <f aca="false">IF(AND($P577="高",ISNUMBER($AF577)),INDEX(IDX_SrcDate,$AF577),"—")</f>
        <v>—</v>
      </c>
      <c r="AJ577" s="104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6" t="s">
        <v>4744</v>
      </c>
      <c r="B578" s="215" t="s">
        <v>4729</v>
      </c>
      <c r="C578" s="36" t="s">
        <v>3661</v>
      </c>
      <c r="D578" s="36" t="s">
        <v>4328</v>
      </c>
      <c r="E578" s="6" t="s">
        <v>297</v>
      </c>
      <c r="F578" s="215" t="s">
        <v>298</v>
      </c>
      <c r="G578" s="215" t="s">
        <v>3185</v>
      </c>
      <c r="H578" s="36" t="s">
        <v>3562</v>
      </c>
      <c r="I578" s="19" t="s">
        <v>3220</v>
      </c>
      <c r="J578" s="36" t="s">
        <v>587</v>
      </c>
      <c r="K578" s="215"/>
      <c r="L578" s="215"/>
      <c r="M578" s="36" t="s">
        <v>587</v>
      </c>
      <c r="N578" s="6" t="s">
        <v>4745</v>
      </c>
      <c r="O578" s="6" t="s">
        <v>587</v>
      </c>
      <c r="P578" s="215" t="s">
        <v>1115</v>
      </c>
      <c r="Q578" s="41" t="n">
        <f aca="false">Arch!C38</f>
        <v>1</v>
      </c>
      <c r="R578" s="185" t="n">
        <f aca="false">SRC_HW_055</f>
        <v>1</v>
      </c>
      <c r="S578" s="35" t="str">
        <f aca="false">IF(ISNUMBER($AF578),INDEX(IDX_SrcStat,$AF578),"—")</f>
        <v>Active</v>
      </c>
      <c r="T578" s="35" t="n">
        <f aca="false">IF(ISNUMBER($AF578),INDEX(IDX_SrcGrade,$AF578),"—")</f>
        <v>3</v>
      </c>
      <c r="U578" s="35" t="s">
        <v>3222</v>
      </c>
      <c r="V578" s="186" t="n">
        <f aca="false">IF(AND($F578="原始數據",$U578&lt;&gt;"連結 SRC"),1,0)</f>
        <v>0</v>
      </c>
      <c r="W578" s="186" t="n">
        <f aca="false">IF(AND($F578="Analogy",OR($H578="—",$H578="")),1,0)</f>
        <v>0</v>
      </c>
      <c r="X578" s="186" t="n">
        <f aca="false">IF(AND(OR($F578="Analogy",$F578="Assumed"),$G578&lt;&gt;"低",$G578&lt;&gt;"高",NOT(ISNUMBER($K578)),NOT(ISNUMBER($L578)),OR($M578="—",$M578="")),1,0)</f>
        <v>0</v>
      </c>
      <c r="Y578" s="186" t="n">
        <f aca="false">IF(AND(OR($F578="Analogy",$F578="Assumed",$F578="Derived（待改公式）",$F578="Derived（公式）"),OR($N578="—",$N578="",$N578=0)),1,0)</f>
        <v>0</v>
      </c>
      <c r="Z578" s="186" t="n">
        <f aca="false">IF(AND($F578="Decision",OR($J578="—",$J578="")),1,0)</f>
        <v>0</v>
      </c>
      <c r="AA578" s="183" t="n">
        <f aca="false">IF(OR($J578="—",$J578=""),0,IF(COUNTIF(Decisions!$A$5:$A$300,$J578)=0,1,0))</f>
        <v>0</v>
      </c>
      <c r="AB578" s="186" t="n">
        <f aca="false">IF(AND($F578="原始數據",$S578&lt;&gt;"Active"),1,0)</f>
        <v>0</v>
      </c>
      <c r="AC578" s="186" t="n">
        <f aca="false">IF(AND(ISNUMBER($K578),ISNUMBER($L578),ISNUMBER($Q578)),IF(OR($Q578&lt;MIN($K578,$L578),$Q578&gt;MAX($K578,$L578)),1,0),0)</f>
        <v>0</v>
      </c>
      <c r="AD578" s="186" t="n">
        <f aca="false">IF(AND(ISNUMBER($T578),$P578="高"),IF($T578=3,1,0),0)</f>
        <v>0</v>
      </c>
      <c r="AE578" s="186" t="n">
        <f aca="false">IF($S578="不存在",1,0)</f>
        <v>0</v>
      </c>
      <c r="AF578" s="35" t="n">
        <f aca="false">IF(OR($H578="—",$H578=""),"—",MATCH($H578,IDX_SrcID,0))</f>
        <v>55</v>
      </c>
      <c r="AG578" s="104" t="n">
        <f aca="false">IF(AND($P578="高",OR($AD578=1,$X578=1)),1,0)</f>
        <v>0</v>
      </c>
      <c r="AH578" s="104" t="n">
        <f aca="false">IF(AND($P578="高",$AG578=0,OR($F578&lt;&gt;"原始數據",$T578&lt;&gt;1)),1,0)</f>
        <v>0</v>
      </c>
      <c r="AI578" s="53" t="str">
        <f aca="false">IF(AND($P578="高",ISNUMBER($AF578)),INDEX(IDX_SrcDate,$AF578),"—")</f>
        <v>—</v>
      </c>
      <c r="AJ578" s="104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6" t="s">
        <v>4746</v>
      </c>
      <c r="B579" s="215" t="s">
        <v>4747</v>
      </c>
      <c r="C579" s="36" t="s">
        <v>4748</v>
      </c>
      <c r="D579" s="36" t="s">
        <v>3835</v>
      </c>
      <c r="E579" s="19" t="s">
        <v>1706</v>
      </c>
      <c r="F579" s="36" t="s">
        <v>72</v>
      </c>
      <c r="G579" s="215" t="s">
        <v>3185</v>
      </c>
      <c r="H579" s="36" t="s">
        <v>587</v>
      </c>
      <c r="I579" s="6" t="s">
        <v>587</v>
      </c>
      <c r="J579" s="36" t="s">
        <v>4749</v>
      </c>
      <c r="K579" s="215"/>
      <c r="L579" s="215"/>
      <c r="M579" s="215" t="s">
        <v>3102</v>
      </c>
      <c r="N579" s="6" t="s">
        <v>4750</v>
      </c>
      <c r="O579" s="6" t="s">
        <v>587</v>
      </c>
      <c r="P579" s="215" t="s">
        <v>3188</v>
      </c>
      <c r="Q579" s="185" t="str">
        <f aca="false">Alloc_In!C5</f>
        <v>OpenAI</v>
      </c>
      <c r="R579" s="36" t="s">
        <v>587</v>
      </c>
      <c r="S579" s="35" t="str">
        <f aca="false">IF(ISNUMBER($AF579),INDEX(IDX_SrcStat,$AF579),"—")</f>
        <v>—</v>
      </c>
      <c r="T579" s="35" t="str">
        <f aca="false">IF(ISNUMBER($AF579),INDEX(IDX_SrcGrade,$AF579),"—")</f>
        <v>—</v>
      </c>
      <c r="U579" s="35" t="s">
        <v>3189</v>
      </c>
      <c r="V579" s="186" t="n">
        <f aca="false">IF(AND($F579="原始數據",$U579&lt;&gt;"連結 SRC"),1,0)</f>
        <v>0</v>
      </c>
      <c r="W579" s="186" t="n">
        <f aca="false">IF(AND($F579="Analogy",OR($H579="—",$H579="")),1,0)</f>
        <v>0</v>
      </c>
      <c r="X579" s="186" t="n">
        <f aca="false">IF(AND(OR($F579="Analogy",$F579="Assumed"),$G579&lt;&gt;"低",$G579&lt;&gt;"高",NOT(ISNUMBER($K579)),NOT(ISNUMBER($L579)),OR($M579="—",$M579="")),1,0)</f>
        <v>0</v>
      </c>
      <c r="Y579" s="186" t="n">
        <f aca="false">IF(AND(OR($F579="Analogy",$F579="Assumed",$F579="Derived（待改公式）",$F579="Derived（公式）"),OR($N579="—",$N579="",$N579=0)),1,0)</f>
        <v>0</v>
      </c>
      <c r="Z579" s="186" t="n">
        <f aca="false">IF(AND($F579="Decision",OR($J579="—",$J579="")),1,0)</f>
        <v>0</v>
      </c>
      <c r="AA579" s="183" t="n">
        <f aca="false">IF(OR($J579="—",$J579=""),0,IF(COUNTIF(Decisions!$A$5:$A$300,$J579)=0,1,0))</f>
        <v>0</v>
      </c>
      <c r="AB579" s="186" t="n">
        <f aca="false">IF(AND($F579="原始數據",$S579&lt;&gt;"Active"),1,0)</f>
        <v>0</v>
      </c>
      <c r="AC579" s="186" t="n">
        <f aca="false">IF(AND(ISNUMBER($K579),ISNUMBER($L579),ISNUMBER($Q579)),IF(OR($Q579&lt;MIN($K579,$L579),$Q579&gt;MAX($K579,$L579)),1,0),0)</f>
        <v>0</v>
      </c>
      <c r="AD579" s="186" t="n">
        <f aca="false">IF(AND(ISNUMBER($T579),$P579="高"),IF($T579=3,1,0),0)</f>
        <v>0</v>
      </c>
      <c r="AE579" s="186" t="n">
        <f aca="false">IF($S579="不存在",1,0)</f>
        <v>0</v>
      </c>
      <c r="AF579" s="35" t="str">
        <f aca="false">IF(OR($H579="—",$H579=""),"—",MATCH($H579,IDX_SrcID,0))</f>
        <v>—</v>
      </c>
      <c r="AG579" s="104" t="n">
        <f aca="false">IF(AND($P579="高",OR($AD579=1,$X579=1)),1,0)</f>
        <v>0</v>
      </c>
      <c r="AH579" s="104" t="n">
        <f aca="false">IF(AND($P579="高",$AG579=0,OR($F579&lt;&gt;"原始數據",$T579&lt;&gt;1)),1,0)</f>
        <v>0</v>
      </c>
      <c r="AI579" s="53" t="str">
        <f aca="false">IF(AND($P579="高",ISNUMBER($AF579)),INDEX(IDX_SrcDate,$AF579),"—")</f>
        <v>—</v>
      </c>
      <c r="AJ579" s="104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6" t="s">
        <v>4751</v>
      </c>
      <c r="B580" s="215" t="s">
        <v>4747</v>
      </c>
      <c r="C580" s="36" t="s">
        <v>4748</v>
      </c>
      <c r="D580" s="36" t="s">
        <v>3342</v>
      </c>
      <c r="E580" s="19" t="s">
        <v>4752</v>
      </c>
      <c r="F580" s="36" t="s">
        <v>80</v>
      </c>
      <c r="G580" s="215" t="s">
        <v>65</v>
      </c>
      <c r="H580" s="36" t="s">
        <v>587</v>
      </c>
      <c r="I580" s="6" t="s">
        <v>587</v>
      </c>
      <c r="J580" s="36" t="s">
        <v>587</v>
      </c>
      <c r="K580" s="182" t="n">
        <f aca="false">Alloc_In!D6</f>
        <v>1</v>
      </c>
      <c r="L580" s="182" t="n">
        <f aca="false">Alloc_In!E6</f>
        <v>2</v>
      </c>
      <c r="M580" s="36" t="s">
        <v>587</v>
      </c>
      <c r="N580" s="6" t="s">
        <v>4753</v>
      </c>
      <c r="O580" s="6" t="s">
        <v>587</v>
      </c>
      <c r="P580" s="215" t="s">
        <v>1116</v>
      </c>
      <c r="Q580" s="182" t="n">
        <f aca="false">Alloc_In!C6</f>
        <v>1</v>
      </c>
      <c r="R580" s="36" t="s">
        <v>587</v>
      </c>
      <c r="S580" s="35" t="str">
        <f aca="false">IF(ISNUMBER($AF580),INDEX(IDX_SrcStat,$AF580),"—")</f>
        <v>—</v>
      </c>
      <c r="T580" s="35" t="str">
        <f aca="false">IF(ISNUMBER($AF580),INDEX(IDX_SrcGrade,$AF580),"—")</f>
        <v>—</v>
      </c>
      <c r="U580" s="35" t="s">
        <v>3189</v>
      </c>
      <c r="V580" s="186" t="n">
        <f aca="false">IF(AND($F580="原始數據",$U580&lt;&gt;"連結 SRC"),1,0)</f>
        <v>0</v>
      </c>
      <c r="W580" s="186" t="n">
        <f aca="false">IF(AND($F580="Analogy",OR($H580="—",$H580="")),1,0)</f>
        <v>0</v>
      </c>
      <c r="X580" s="186" t="n">
        <f aca="false">IF(AND(OR($F580="Analogy",$F580="Assumed"),$G580&lt;&gt;"低",$G580&lt;&gt;"高",NOT(ISNUMBER($K580)),NOT(ISNUMBER($L580)),OR($M580="—",$M580="")),1,0)</f>
        <v>0</v>
      </c>
      <c r="Y580" s="186" t="n">
        <f aca="false">IF(AND(OR($F580="Analogy",$F580="Assumed",$F580="Derived（待改公式）",$F580="Derived（公式）"),OR($N580="—",$N580="",$N580=0)),1,0)</f>
        <v>0</v>
      </c>
      <c r="Z580" s="186" t="n">
        <f aca="false">IF(AND($F580="Decision",OR($J580="—",$J580="")),1,0)</f>
        <v>0</v>
      </c>
      <c r="AA580" s="183" t="n">
        <f aca="false">IF(OR($J580="—",$J580=""),0,IF(COUNTIF(Decisions!$A$5:$A$300,$J580)=0,1,0))</f>
        <v>0</v>
      </c>
      <c r="AB580" s="186" t="n">
        <f aca="false">IF(AND($F580="原始數據",$S580&lt;&gt;"Active"),1,0)</f>
        <v>0</v>
      </c>
      <c r="AC580" s="186" t="n">
        <f aca="false">IF(AND(ISNUMBER($K580),ISNUMBER($L580),ISNUMBER($Q580)),IF(OR($Q580&lt;MIN($K580,$L580),$Q580&gt;MAX($K580,$L580)),1,0),0)</f>
        <v>0</v>
      </c>
      <c r="AD580" s="186" t="n">
        <f aca="false">IF(AND(ISNUMBER($T580),$P580="高"),IF($T580=3,1,0),0)</f>
        <v>0</v>
      </c>
      <c r="AE580" s="186" t="n">
        <f aca="false">IF($S580="不存在",1,0)</f>
        <v>0</v>
      </c>
      <c r="AF580" s="35" t="str">
        <f aca="false">IF(OR($H580="—",$H580=""),"—",MATCH($H580,IDX_SrcID,0))</f>
        <v>—</v>
      </c>
      <c r="AG580" s="104" t="n">
        <f aca="false">IF(AND($P580="高",OR($AD580=1,$X580=1)),1,0)</f>
        <v>0</v>
      </c>
      <c r="AH580" s="104" t="n">
        <f aca="false">IF(AND($P580="高",$AG580=0,OR($F580&lt;&gt;"原始數據",$T580&lt;&gt;1)),1,0)</f>
        <v>1</v>
      </c>
      <c r="AI580" s="53" t="str">
        <f aca="false">IF(AND($P580="高",ISNUMBER($AF580)),INDEX(IDX_SrcDate,$AF580),"—")</f>
        <v>—</v>
      </c>
      <c r="AJ580" s="104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6" t="s">
        <v>4754</v>
      </c>
      <c r="B581" s="215" t="s">
        <v>4747</v>
      </c>
      <c r="C581" s="36" t="s">
        <v>4748</v>
      </c>
      <c r="D581" s="36" t="s">
        <v>4755</v>
      </c>
      <c r="E581" s="19" t="s">
        <v>4752</v>
      </c>
      <c r="F581" s="36" t="s">
        <v>80</v>
      </c>
      <c r="G581" s="215" t="s">
        <v>4250</v>
      </c>
      <c r="H581" s="36" t="s">
        <v>587</v>
      </c>
      <c r="I581" s="6" t="s">
        <v>587</v>
      </c>
      <c r="J581" s="36" t="s">
        <v>587</v>
      </c>
      <c r="K581" s="215"/>
      <c r="L581" s="215"/>
      <c r="M581" s="36" t="s">
        <v>4756</v>
      </c>
      <c r="N581" s="6" t="s">
        <v>4757</v>
      </c>
      <c r="O581" s="6" t="s">
        <v>587</v>
      </c>
      <c r="P581" s="36" t="s">
        <v>587</v>
      </c>
      <c r="Q581" s="185" t="s">
        <v>587</v>
      </c>
      <c r="R581" s="36" t="s">
        <v>587</v>
      </c>
      <c r="S581" s="35" t="str">
        <f aca="false">IF(ISNUMBER($AF581),INDEX(IDX_SrcStat,$AF581),"—")</f>
        <v>—</v>
      </c>
      <c r="T581" s="35" t="str">
        <f aca="false">IF(ISNUMBER($AF581),INDEX(IDX_SrcGrade,$AF581),"—")</f>
        <v>—</v>
      </c>
      <c r="U581" s="36" t="s">
        <v>587</v>
      </c>
      <c r="V581" s="186" t="n">
        <f aca="false">IF(AND($F581="原始數據",$U581&lt;&gt;"連結 SRC"),1,0)</f>
        <v>0</v>
      </c>
      <c r="W581" s="186" t="n">
        <f aca="false">IF(AND($F581="Analogy",OR($H581="—",$H581="")),1,0)</f>
        <v>0</v>
      </c>
      <c r="X581" s="186" t="n">
        <f aca="false">IF(AND(OR($F581="Analogy",$F581="Assumed"),$G581&lt;&gt;"低",$G581&lt;&gt;"高",NOT(ISNUMBER($K581)),NOT(ISNUMBER($L581)),OR($M581="—",$M581="")),1,0)</f>
        <v>0</v>
      </c>
      <c r="Y581" s="186" t="n">
        <f aca="false">IF(AND(OR($F581="Analogy",$F581="Assumed",$F581="Derived（待改公式）",$F581="Derived（公式）"),OR($N581="—",$N581="",$N581=0)),1,0)</f>
        <v>0</v>
      </c>
      <c r="Z581" s="186" t="n">
        <f aca="false">IF(AND($F581="Decision",OR($J581="—",$J581="")),1,0)</f>
        <v>0</v>
      </c>
      <c r="AA581" s="183" t="n">
        <f aca="false">IF(OR($J581="—",$J581=""),0,IF(COUNTIF(Decisions!$A$5:$A$300,$J581)=0,1,0))</f>
        <v>0</v>
      </c>
      <c r="AB581" s="186" t="n">
        <f aca="false">IF(AND($F581="原始數據",$S581&lt;&gt;"Active"),1,0)</f>
        <v>0</v>
      </c>
      <c r="AC581" s="186" t="n">
        <f aca="false">IF(AND(ISNUMBER($K581),ISNUMBER($L581),ISNUMBER($Q581)),IF(OR($Q581&lt;MIN($K581,$L581),$Q581&gt;MAX($K581,$L581)),1,0),0)</f>
        <v>0</v>
      </c>
      <c r="AD581" s="186" t="n">
        <f aca="false">IF(AND(ISNUMBER($T581),$P581="高"),IF($T581=3,1,0),0)</f>
        <v>0</v>
      </c>
      <c r="AE581" s="186" t="n">
        <f aca="false">IF($S581="不存在",1,0)</f>
        <v>0</v>
      </c>
      <c r="AF581" s="35" t="str">
        <f aca="false">IF(OR($H581="—",$H581=""),"—",MATCH($H581,IDX_SrcID,0))</f>
        <v>—</v>
      </c>
      <c r="AG581" s="104" t="n">
        <f aca="false">IF(AND($P581="高",OR($AD581=1,$X581=1)),1,0)</f>
        <v>0</v>
      </c>
      <c r="AH581" s="104" t="n">
        <f aca="false">IF(AND($P581="高",$AG581=0,OR($F581&lt;&gt;"原始數據",$T581&lt;&gt;1)),1,0)</f>
        <v>0</v>
      </c>
      <c r="AI581" s="53" t="str">
        <f aca="false">IF(AND($P581="高",ISNUMBER($AF581)),INDEX(IDX_SrcDate,$AF581),"—")</f>
        <v>—</v>
      </c>
      <c r="AJ581" s="104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6" t="s">
        <v>4758</v>
      </c>
      <c r="B582" s="215" t="s">
        <v>4747</v>
      </c>
      <c r="C582" s="36" t="s">
        <v>4748</v>
      </c>
      <c r="D582" s="36" t="s">
        <v>3666</v>
      </c>
      <c r="E582" s="19" t="s">
        <v>4759</v>
      </c>
      <c r="F582" s="36" t="s">
        <v>80</v>
      </c>
      <c r="G582" s="215" t="s">
        <v>65</v>
      </c>
      <c r="H582" s="36" t="s">
        <v>587</v>
      </c>
      <c r="I582" s="6" t="s">
        <v>587</v>
      </c>
      <c r="J582" s="36" t="s">
        <v>587</v>
      </c>
      <c r="K582" s="182" t="n">
        <f aca="false">Alloc_In!D7</f>
        <v>0</v>
      </c>
      <c r="L582" s="182" t="n">
        <f aca="false">Alloc_In!E7</f>
        <v>6</v>
      </c>
      <c r="M582" s="36" t="s">
        <v>4760</v>
      </c>
      <c r="N582" s="6" t="s">
        <v>4761</v>
      </c>
      <c r="O582" s="6" t="s">
        <v>587</v>
      </c>
      <c r="P582" s="215" t="s">
        <v>1116</v>
      </c>
      <c r="Q582" s="182" t="n">
        <f aca="false">Alloc_In!C7</f>
        <v>2</v>
      </c>
      <c r="R582" s="36" t="s">
        <v>587</v>
      </c>
      <c r="S582" s="35" t="str">
        <f aca="false">IF(ISNUMBER($AF582),INDEX(IDX_SrcStat,$AF582),"—")</f>
        <v>—</v>
      </c>
      <c r="T582" s="35" t="str">
        <f aca="false">IF(ISNUMBER($AF582),INDEX(IDX_SrcGrade,$AF582),"—")</f>
        <v>—</v>
      </c>
      <c r="U582" s="35" t="s">
        <v>3189</v>
      </c>
      <c r="V582" s="186" t="n">
        <f aca="false">IF(AND($F582="原始數據",$U582&lt;&gt;"連結 SRC"),1,0)</f>
        <v>0</v>
      </c>
      <c r="W582" s="186" t="n">
        <f aca="false">IF(AND($F582="Analogy",OR($H582="—",$H582="")),1,0)</f>
        <v>0</v>
      </c>
      <c r="X582" s="186" t="n">
        <f aca="false">IF(AND(OR($F582="Analogy",$F582="Assumed"),$G582&lt;&gt;"低",$G582&lt;&gt;"高",NOT(ISNUMBER($K582)),NOT(ISNUMBER($L582)),OR($M582="—",$M582="")),1,0)</f>
        <v>0</v>
      </c>
      <c r="Y582" s="186" t="n">
        <f aca="false">IF(AND(OR($F582="Analogy",$F582="Assumed",$F582="Derived（待改公式）",$F582="Derived（公式）"),OR($N582="—",$N582="",$N582=0)),1,0)</f>
        <v>0</v>
      </c>
      <c r="Z582" s="186" t="n">
        <f aca="false">IF(AND($F582="Decision",OR($J582="—",$J582="")),1,0)</f>
        <v>0</v>
      </c>
      <c r="AA582" s="183" t="n">
        <f aca="false">IF(OR($J582="—",$J582=""),0,IF(COUNTIF(Decisions!$A$5:$A$300,$J582)=0,1,0))</f>
        <v>0</v>
      </c>
      <c r="AB582" s="186" t="n">
        <f aca="false">IF(AND($F582="原始數據",$S582&lt;&gt;"Active"),1,0)</f>
        <v>0</v>
      </c>
      <c r="AC582" s="186" t="n">
        <f aca="false">IF(AND(ISNUMBER($K582),ISNUMBER($L582),ISNUMBER($Q582)),IF(OR($Q582&lt;MIN($K582,$L582),$Q582&gt;MAX($K582,$L582)),1,0),0)</f>
        <v>0</v>
      </c>
      <c r="AD582" s="186" t="n">
        <f aca="false">IF(AND(ISNUMBER($T582),$P582="高"),IF($T582=3,1,0),0)</f>
        <v>0</v>
      </c>
      <c r="AE582" s="186" t="n">
        <f aca="false">IF($S582="不存在",1,0)</f>
        <v>0</v>
      </c>
      <c r="AF582" s="35" t="str">
        <f aca="false">IF(OR($H582="—",$H582=""),"—",MATCH($H582,IDX_SrcID,0))</f>
        <v>—</v>
      </c>
      <c r="AG582" s="104" t="n">
        <f aca="false">IF(AND($P582="高",OR($AD582=1,$X582=1)),1,0)</f>
        <v>0</v>
      </c>
      <c r="AH582" s="104" t="n">
        <f aca="false">IF(AND($P582="高",$AG582=0,OR($F582&lt;&gt;"原始數據",$T582&lt;&gt;1)),1,0)</f>
        <v>1</v>
      </c>
      <c r="AI582" s="53" t="str">
        <f aca="false">IF(AND($P582="高",ISNUMBER($AF582)),INDEX(IDX_SrcDate,$AF582),"—")</f>
        <v>—</v>
      </c>
      <c r="AJ582" s="104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6" t="s">
        <v>4762</v>
      </c>
      <c r="B583" s="215" t="s">
        <v>4747</v>
      </c>
      <c r="C583" s="36" t="s">
        <v>4748</v>
      </c>
      <c r="D583" s="36" t="s">
        <v>4763</v>
      </c>
      <c r="E583" s="19" t="s">
        <v>4759</v>
      </c>
      <c r="F583" s="36" t="s">
        <v>80</v>
      </c>
      <c r="G583" s="215" t="s">
        <v>4250</v>
      </c>
      <c r="H583" s="36" t="s">
        <v>587</v>
      </c>
      <c r="I583" s="6" t="s">
        <v>587</v>
      </c>
      <c r="J583" s="36" t="s">
        <v>587</v>
      </c>
      <c r="K583" s="215"/>
      <c r="L583" s="215"/>
      <c r="M583" s="36" t="s">
        <v>4764</v>
      </c>
      <c r="N583" s="6" t="s">
        <v>4765</v>
      </c>
      <c r="O583" s="6" t="s">
        <v>587</v>
      </c>
      <c r="P583" s="36" t="s">
        <v>587</v>
      </c>
      <c r="Q583" s="185" t="s">
        <v>587</v>
      </c>
      <c r="R583" s="36" t="s">
        <v>587</v>
      </c>
      <c r="S583" s="35" t="str">
        <f aca="false">IF(ISNUMBER($AF583),INDEX(IDX_SrcStat,$AF583),"—")</f>
        <v>—</v>
      </c>
      <c r="T583" s="35" t="str">
        <f aca="false">IF(ISNUMBER($AF583),INDEX(IDX_SrcGrade,$AF583),"—")</f>
        <v>—</v>
      </c>
      <c r="U583" s="36" t="s">
        <v>587</v>
      </c>
      <c r="V583" s="186" t="n">
        <f aca="false">IF(AND($F583="原始數據",$U583&lt;&gt;"連結 SRC"),1,0)</f>
        <v>0</v>
      </c>
      <c r="W583" s="186" t="n">
        <f aca="false">IF(AND($F583="Analogy",OR($H583="—",$H583="")),1,0)</f>
        <v>0</v>
      </c>
      <c r="X583" s="186" t="n">
        <f aca="false">IF(AND(OR($F583="Analogy",$F583="Assumed"),$G583&lt;&gt;"低",$G583&lt;&gt;"高",NOT(ISNUMBER($K583)),NOT(ISNUMBER($L583)),OR($M583="—",$M583="")),1,0)</f>
        <v>0</v>
      </c>
      <c r="Y583" s="186" t="n">
        <f aca="false">IF(AND(OR($F583="Analogy",$F583="Assumed",$F583="Derived（待改公式）",$F583="Derived（公式）"),OR($N583="—",$N583="",$N583=0)),1,0)</f>
        <v>0</v>
      </c>
      <c r="Z583" s="186" t="n">
        <f aca="false">IF(AND($F583="Decision",OR($J583="—",$J583="")),1,0)</f>
        <v>0</v>
      </c>
      <c r="AA583" s="183" t="n">
        <f aca="false">IF(OR($J583="—",$J583=""),0,IF(COUNTIF(Decisions!$A$5:$A$300,$J583)=0,1,0))</f>
        <v>0</v>
      </c>
      <c r="AB583" s="186" t="n">
        <f aca="false">IF(AND($F583="原始數據",$S583&lt;&gt;"Active"),1,0)</f>
        <v>0</v>
      </c>
      <c r="AC583" s="186" t="n">
        <f aca="false">IF(AND(ISNUMBER($K583),ISNUMBER($L583),ISNUMBER($Q583)),IF(OR($Q583&lt;MIN($K583,$L583),$Q583&gt;MAX($K583,$L583)),1,0),0)</f>
        <v>0</v>
      </c>
      <c r="AD583" s="186" t="n">
        <f aca="false">IF(AND(ISNUMBER($T583),$P583="高"),IF($T583=3,1,0),0)</f>
        <v>0</v>
      </c>
      <c r="AE583" s="186" t="n">
        <f aca="false">IF($S583="不存在",1,0)</f>
        <v>0</v>
      </c>
      <c r="AF583" s="35" t="str">
        <f aca="false">IF(OR($H583="—",$H583=""),"—",MATCH($H583,IDX_SrcID,0))</f>
        <v>—</v>
      </c>
      <c r="AG583" s="104" t="n">
        <f aca="false">IF(AND($P583="高",OR($AD583=1,$X583=1)),1,0)</f>
        <v>0</v>
      </c>
      <c r="AH583" s="104" t="n">
        <f aca="false">IF(AND($P583="高",$AG583=0,OR($F583&lt;&gt;"原始數據",$T583&lt;&gt;1)),1,0)</f>
        <v>0</v>
      </c>
      <c r="AI583" s="53" t="str">
        <f aca="false">IF(AND($P583="高",ISNUMBER($AF583)),INDEX(IDX_SrcDate,$AF583),"—")</f>
        <v>—</v>
      </c>
      <c r="AJ583" s="104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6" t="s">
        <v>4766</v>
      </c>
      <c r="B584" s="215" t="s">
        <v>4747</v>
      </c>
      <c r="C584" s="36" t="s">
        <v>4748</v>
      </c>
      <c r="D584" s="36" t="s">
        <v>3355</v>
      </c>
      <c r="E584" s="19" t="s">
        <v>4767</v>
      </c>
      <c r="F584" s="36" t="s">
        <v>80</v>
      </c>
      <c r="G584" s="215" t="s">
        <v>65</v>
      </c>
      <c r="H584" s="36" t="s">
        <v>587</v>
      </c>
      <c r="I584" s="6" t="s">
        <v>587</v>
      </c>
      <c r="J584" s="36" t="s">
        <v>587</v>
      </c>
      <c r="K584" s="182" t="n">
        <f aca="false">Alloc_In!D8</f>
        <v>0.5</v>
      </c>
      <c r="L584" s="182" t="n">
        <f aca="false">Alloc_In!E8</f>
        <v>7</v>
      </c>
      <c r="M584" s="36" t="s">
        <v>587</v>
      </c>
      <c r="N584" s="6" t="s">
        <v>4768</v>
      </c>
      <c r="O584" s="6" t="s">
        <v>587</v>
      </c>
      <c r="P584" s="215" t="s">
        <v>1116</v>
      </c>
      <c r="Q584" s="182" t="n">
        <f aca="false">Alloc_In!C8</f>
        <v>1</v>
      </c>
      <c r="R584" s="36" t="s">
        <v>587</v>
      </c>
      <c r="S584" s="35" t="str">
        <f aca="false">IF(ISNUMBER($AF584),INDEX(IDX_SrcStat,$AF584),"—")</f>
        <v>—</v>
      </c>
      <c r="T584" s="35" t="str">
        <f aca="false">IF(ISNUMBER($AF584),INDEX(IDX_SrcGrade,$AF584),"—")</f>
        <v>—</v>
      </c>
      <c r="U584" s="35" t="s">
        <v>3189</v>
      </c>
      <c r="V584" s="186" t="n">
        <f aca="false">IF(AND($F584="原始數據",$U584&lt;&gt;"連結 SRC"),1,0)</f>
        <v>0</v>
      </c>
      <c r="W584" s="186" t="n">
        <f aca="false">IF(AND($F584="Analogy",OR($H584="—",$H584="")),1,0)</f>
        <v>0</v>
      </c>
      <c r="X584" s="186" t="n">
        <f aca="false">IF(AND(OR($F584="Analogy",$F584="Assumed"),$G584&lt;&gt;"低",$G584&lt;&gt;"高",NOT(ISNUMBER($K584)),NOT(ISNUMBER($L584)),OR($M584="—",$M584="")),1,0)</f>
        <v>0</v>
      </c>
      <c r="Y584" s="186" t="n">
        <f aca="false">IF(AND(OR($F584="Analogy",$F584="Assumed",$F584="Derived（待改公式）",$F584="Derived（公式）"),OR($N584="—",$N584="",$N584=0)),1,0)</f>
        <v>0</v>
      </c>
      <c r="Z584" s="186" t="n">
        <f aca="false">IF(AND($F584="Decision",OR($J584="—",$J584="")),1,0)</f>
        <v>0</v>
      </c>
      <c r="AA584" s="183" t="n">
        <f aca="false">IF(OR($J584="—",$J584=""),0,IF(COUNTIF(Decisions!$A$5:$A$300,$J584)=0,1,0))</f>
        <v>0</v>
      </c>
      <c r="AB584" s="186" t="n">
        <f aca="false">IF(AND($F584="原始數據",$S584&lt;&gt;"Active"),1,0)</f>
        <v>0</v>
      </c>
      <c r="AC584" s="186" t="n">
        <f aca="false">IF(AND(ISNUMBER($K584),ISNUMBER($L584),ISNUMBER($Q584)),IF(OR($Q584&lt;MIN($K584,$L584),$Q584&gt;MAX($K584,$L584)),1,0),0)</f>
        <v>0</v>
      </c>
      <c r="AD584" s="186" t="n">
        <f aca="false">IF(AND(ISNUMBER($T584),$P584="高"),IF($T584=3,1,0),0)</f>
        <v>0</v>
      </c>
      <c r="AE584" s="186" t="n">
        <f aca="false">IF($S584="不存在",1,0)</f>
        <v>0</v>
      </c>
      <c r="AF584" s="35" t="str">
        <f aca="false">IF(OR($H584="—",$H584=""),"—",MATCH($H584,IDX_SrcID,0))</f>
        <v>—</v>
      </c>
      <c r="AG584" s="104" t="n">
        <f aca="false">IF(AND($P584="高",OR($AD584=1,$X584=1)),1,0)</f>
        <v>0</v>
      </c>
      <c r="AH584" s="104" t="n">
        <f aca="false">IF(AND($P584="高",$AG584=0,OR($F584&lt;&gt;"原始數據",$T584&lt;&gt;1)),1,0)</f>
        <v>1</v>
      </c>
      <c r="AI584" s="53" t="str">
        <f aca="false">IF(AND($P584="高",ISNUMBER($AF584)),INDEX(IDX_SrcDate,$AF584),"—")</f>
        <v>—</v>
      </c>
      <c r="AJ584" s="104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6" t="s">
        <v>4769</v>
      </c>
      <c r="B585" s="215" t="s">
        <v>4747</v>
      </c>
      <c r="C585" s="36" t="s">
        <v>4748</v>
      </c>
      <c r="D585" s="36" t="s">
        <v>4770</v>
      </c>
      <c r="E585" s="19" t="s">
        <v>4767</v>
      </c>
      <c r="F585" s="36" t="s">
        <v>80</v>
      </c>
      <c r="G585" s="215" t="s">
        <v>4250</v>
      </c>
      <c r="H585" s="36" t="s">
        <v>587</v>
      </c>
      <c r="I585" s="6" t="s">
        <v>587</v>
      </c>
      <c r="J585" s="36" t="s">
        <v>587</v>
      </c>
      <c r="K585" s="215"/>
      <c r="L585" s="215"/>
      <c r="M585" s="36" t="s">
        <v>4771</v>
      </c>
      <c r="N585" s="6" t="s">
        <v>4772</v>
      </c>
      <c r="O585" s="6" t="s">
        <v>587</v>
      </c>
      <c r="P585" s="36" t="s">
        <v>587</v>
      </c>
      <c r="Q585" s="185" t="s">
        <v>587</v>
      </c>
      <c r="R585" s="36" t="s">
        <v>587</v>
      </c>
      <c r="S585" s="35" t="str">
        <f aca="false">IF(ISNUMBER($AF585),INDEX(IDX_SrcStat,$AF585),"—")</f>
        <v>—</v>
      </c>
      <c r="T585" s="35" t="str">
        <f aca="false">IF(ISNUMBER($AF585),INDEX(IDX_SrcGrade,$AF585),"—")</f>
        <v>—</v>
      </c>
      <c r="U585" s="36" t="s">
        <v>587</v>
      </c>
      <c r="V585" s="186" t="n">
        <f aca="false">IF(AND($F585="原始數據",$U585&lt;&gt;"連結 SRC"),1,0)</f>
        <v>0</v>
      </c>
      <c r="W585" s="186" t="n">
        <f aca="false">IF(AND($F585="Analogy",OR($H585="—",$H585="")),1,0)</f>
        <v>0</v>
      </c>
      <c r="X585" s="186" t="n">
        <f aca="false">IF(AND(OR($F585="Analogy",$F585="Assumed"),$G585&lt;&gt;"低",$G585&lt;&gt;"高",NOT(ISNUMBER($K585)),NOT(ISNUMBER($L585)),OR($M585="—",$M585="")),1,0)</f>
        <v>0</v>
      </c>
      <c r="Y585" s="186" t="n">
        <f aca="false">IF(AND(OR($F585="Analogy",$F585="Assumed",$F585="Derived（待改公式）",$F585="Derived（公式）"),OR($N585="—",$N585="",$N585=0)),1,0)</f>
        <v>0</v>
      </c>
      <c r="Z585" s="186" t="n">
        <f aca="false">IF(AND($F585="Decision",OR($J585="—",$J585="")),1,0)</f>
        <v>0</v>
      </c>
      <c r="AA585" s="183" t="n">
        <f aca="false">IF(OR($J585="—",$J585=""),0,IF(COUNTIF(Decisions!$A$5:$A$300,$J585)=0,1,0))</f>
        <v>0</v>
      </c>
      <c r="AB585" s="186" t="n">
        <f aca="false">IF(AND($F585="原始數據",$S585&lt;&gt;"Active"),1,0)</f>
        <v>0</v>
      </c>
      <c r="AC585" s="186" t="n">
        <f aca="false">IF(AND(ISNUMBER($K585),ISNUMBER($L585),ISNUMBER($Q585)),IF(OR($Q585&lt;MIN($K585,$L585),$Q585&gt;MAX($K585,$L585)),1,0),0)</f>
        <v>0</v>
      </c>
      <c r="AD585" s="186" t="n">
        <f aca="false">IF(AND(ISNUMBER($T585),$P585="高"),IF($T585=3,1,0),0)</f>
        <v>0</v>
      </c>
      <c r="AE585" s="186" t="n">
        <f aca="false">IF($S585="不存在",1,0)</f>
        <v>0</v>
      </c>
      <c r="AF585" s="35" t="str">
        <f aca="false">IF(OR($H585="—",$H585=""),"—",MATCH($H585,IDX_SrcID,0))</f>
        <v>—</v>
      </c>
      <c r="AG585" s="104" t="n">
        <f aca="false">IF(AND($P585="高",OR($AD585=1,$X585=1)),1,0)</f>
        <v>0</v>
      </c>
      <c r="AH585" s="104" t="n">
        <f aca="false">IF(AND($P585="高",$AG585=0,OR($F585&lt;&gt;"原始數據",$T585&lt;&gt;1)),1,0)</f>
        <v>0</v>
      </c>
      <c r="AI585" s="53" t="str">
        <f aca="false">IF(AND($P585="高",ISNUMBER($AF585)),INDEX(IDX_SrcDate,$AF585),"—")</f>
        <v>—</v>
      </c>
      <c r="AJ585" s="104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6" t="s">
        <v>4773</v>
      </c>
      <c r="B586" s="215" t="s">
        <v>4747</v>
      </c>
      <c r="C586" s="36" t="s">
        <v>4748</v>
      </c>
      <c r="D586" s="36" t="s">
        <v>3438</v>
      </c>
      <c r="E586" s="19" t="s">
        <v>4774</v>
      </c>
      <c r="F586" s="36" t="s">
        <v>80</v>
      </c>
      <c r="G586" s="215" t="s">
        <v>65</v>
      </c>
      <c r="H586" s="36" t="s">
        <v>587</v>
      </c>
      <c r="I586" s="6" t="s">
        <v>587</v>
      </c>
      <c r="J586" s="36" t="s">
        <v>587</v>
      </c>
      <c r="K586" s="177" t="n">
        <f aca="false">Alloc_In!D13</f>
        <v>0</v>
      </c>
      <c r="L586" s="177" t="n">
        <f aca="false">Alloc_In!E13</f>
        <v>1</v>
      </c>
      <c r="M586" s="36" t="s">
        <v>587</v>
      </c>
      <c r="N586" s="6" t="s">
        <v>4775</v>
      </c>
      <c r="O586" s="6" t="s">
        <v>587</v>
      </c>
      <c r="P586" s="215" t="s">
        <v>3188</v>
      </c>
      <c r="Q586" s="177" t="n">
        <f aca="false">Alloc_In!C13</f>
        <v>0</v>
      </c>
      <c r="R586" s="36" t="s">
        <v>587</v>
      </c>
      <c r="S586" s="35" t="str">
        <f aca="false">IF(ISNUMBER($AF586),INDEX(IDX_SrcStat,$AF586),"—")</f>
        <v>—</v>
      </c>
      <c r="T586" s="35" t="str">
        <f aca="false">IF(ISNUMBER($AF586),INDEX(IDX_SrcGrade,$AF586),"—")</f>
        <v>—</v>
      </c>
      <c r="U586" s="35" t="s">
        <v>3189</v>
      </c>
      <c r="V586" s="186" t="n">
        <f aca="false">IF(AND($F586="原始數據",$U586&lt;&gt;"連結 SRC"),1,0)</f>
        <v>0</v>
      </c>
      <c r="W586" s="186" t="n">
        <f aca="false">IF(AND($F586="Analogy",OR($H586="—",$H586="")),1,0)</f>
        <v>0</v>
      </c>
      <c r="X586" s="186" t="n">
        <f aca="false">IF(AND(OR($F586="Analogy",$F586="Assumed"),$G586&lt;&gt;"低",$G586&lt;&gt;"高",NOT(ISNUMBER($K586)),NOT(ISNUMBER($L586)),OR($M586="—",$M586="")),1,0)</f>
        <v>0</v>
      </c>
      <c r="Y586" s="186" t="n">
        <f aca="false">IF(AND(OR($F586="Analogy",$F586="Assumed",$F586="Derived（待改公式）",$F586="Derived（公式）"),OR($N586="—",$N586="",$N586=0)),1,0)</f>
        <v>0</v>
      </c>
      <c r="Z586" s="186" t="n">
        <f aca="false">IF(AND($F586="Decision",OR($J586="—",$J586="")),1,0)</f>
        <v>0</v>
      </c>
      <c r="AA586" s="183" t="n">
        <f aca="false">IF(OR($J586="—",$J586=""),0,IF(COUNTIF(Decisions!$A$5:$A$300,$J586)=0,1,0))</f>
        <v>0</v>
      </c>
      <c r="AB586" s="186" t="n">
        <f aca="false">IF(AND($F586="原始數據",$S586&lt;&gt;"Active"),1,0)</f>
        <v>0</v>
      </c>
      <c r="AC586" s="186" t="n">
        <f aca="false">IF(AND(ISNUMBER($K586),ISNUMBER($L586),ISNUMBER($Q586)),IF(OR($Q586&lt;MIN($K586,$L586),$Q586&gt;MAX($K586,$L586)),1,0),0)</f>
        <v>0</v>
      </c>
      <c r="AD586" s="186" t="n">
        <f aca="false">IF(AND(ISNUMBER($T586),$P586="高"),IF($T586=3,1,0),0)</f>
        <v>0</v>
      </c>
      <c r="AE586" s="186" t="n">
        <f aca="false">IF($S586="不存在",1,0)</f>
        <v>0</v>
      </c>
      <c r="AF586" s="35" t="str">
        <f aca="false">IF(OR($H586="—",$H586=""),"—",MATCH($H586,IDX_SrcID,0))</f>
        <v>—</v>
      </c>
      <c r="AG586" s="104" t="n">
        <f aca="false">IF(AND($P586="高",OR($AD586=1,$X586=1)),1,0)</f>
        <v>0</v>
      </c>
      <c r="AH586" s="104" t="n">
        <f aca="false">IF(AND($P586="高",$AG586=0,OR($F586&lt;&gt;"原始數據",$T586&lt;&gt;1)),1,0)</f>
        <v>0</v>
      </c>
      <c r="AI586" s="53" t="str">
        <f aca="false">IF(AND($P586="高",ISNUMBER($AF586)),INDEX(IDX_SrcDate,$AF586),"—")</f>
        <v>—</v>
      </c>
      <c r="AJ586" s="104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6" t="s">
        <v>4776</v>
      </c>
      <c r="B587" s="215" t="s">
        <v>4747</v>
      </c>
      <c r="C587" s="36" t="s">
        <v>4748</v>
      </c>
      <c r="D587" s="36" t="s">
        <v>4256</v>
      </c>
      <c r="E587" s="19" t="s">
        <v>4774</v>
      </c>
      <c r="F587" s="36" t="s">
        <v>80</v>
      </c>
      <c r="G587" s="215" t="s">
        <v>4250</v>
      </c>
      <c r="H587" s="36" t="s">
        <v>587</v>
      </c>
      <c r="I587" s="6" t="s">
        <v>587</v>
      </c>
      <c r="J587" s="36" t="s">
        <v>587</v>
      </c>
      <c r="K587" s="215"/>
      <c r="L587" s="215"/>
      <c r="M587" s="36" t="s">
        <v>4257</v>
      </c>
      <c r="N587" s="6" t="s">
        <v>4775</v>
      </c>
      <c r="O587" s="6" t="s">
        <v>587</v>
      </c>
      <c r="P587" s="36" t="s">
        <v>587</v>
      </c>
      <c r="Q587" s="185" t="s">
        <v>587</v>
      </c>
      <c r="R587" s="36" t="s">
        <v>587</v>
      </c>
      <c r="S587" s="35" t="str">
        <f aca="false">IF(ISNUMBER($AF587),INDEX(IDX_SrcStat,$AF587),"—")</f>
        <v>—</v>
      </c>
      <c r="T587" s="35" t="str">
        <f aca="false">IF(ISNUMBER($AF587),INDEX(IDX_SrcGrade,$AF587),"—")</f>
        <v>—</v>
      </c>
      <c r="U587" s="36" t="s">
        <v>587</v>
      </c>
      <c r="V587" s="186" t="n">
        <f aca="false">IF(AND($F587="原始數據",$U587&lt;&gt;"連結 SRC"),1,0)</f>
        <v>0</v>
      </c>
      <c r="W587" s="186" t="n">
        <f aca="false">IF(AND($F587="Analogy",OR($H587="—",$H587="")),1,0)</f>
        <v>0</v>
      </c>
      <c r="X587" s="186" t="n">
        <f aca="false">IF(AND(OR($F587="Analogy",$F587="Assumed"),$G587&lt;&gt;"低",$G587&lt;&gt;"高",NOT(ISNUMBER($K587)),NOT(ISNUMBER($L587)),OR($M587="—",$M587="")),1,0)</f>
        <v>0</v>
      </c>
      <c r="Y587" s="186" t="n">
        <f aca="false">IF(AND(OR($F587="Analogy",$F587="Assumed",$F587="Derived（待改公式）",$F587="Derived（公式）"),OR($N587="—",$N587="",$N587=0)),1,0)</f>
        <v>0</v>
      </c>
      <c r="Z587" s="186" t="n">
        <f aca="false">IF(AND($F587="Decision",OR($J587="—",$J587="")),1,0)</f>
        <v>0</v>
      </c>
      <c r="AA587" s="183" t="n">
        <f aca="false">IF(OR($J587="—",$J587=""),0,IF(COUNTIF(Decisions!$A$5:$A$300,$J587)=0,1,0))</f>
        <v>0</v>
      </c>
      <c r="AB587" s="186" t="n">
        <f aca="false">IF(AND($F587="原始數據",$S587&lt;&gt;"Active"),1,0)</f>
        <v>0</v>
      </c>
      <c r="AC587" s="186" t="n">
        <f aca="false">IF(AND(ISNUMBER($K587),ISNUMBER($L587),ISNUMBER($Q587)),IF(OR($Q587&lt;MIN($K587,$L587),$Q587&gt;MAX($K587,$L587)),1,0),0)</f>
        <v>0</v>
      </c>
      <c r="AD587" s="186" t="n">
        <f aca="false">IF(AND(ISNUMBER($T587),$P587="高"),IF($T587=3,1,0),0)</f>
        <v>0</v>
      </c>
      <c r="AE587" s="186" t="n">
        <f aca="false">IF($S587="不存在",1,0)</f>
        <v>0</v>
      </c>
      <c r="AF587" s="35" t="str">
        <f aca="false">IF(OR($H587="—",$H587=""),"—",MATCH($H587,IDX_SrcID,0))</f>
        <v>—</v>
      </c>
      <c r="AG587" s="104" t="n">
        <f aca="false">IF(AND($P587="高",OR($AD587=1,$X587=1)),1,0)</f>
        <v>0</v>
      </c>
      <c r="AH587" s="104" t="n">
        <f aca="false">IF(AND($P587="高",$AG587=0,OR($F587&lt;&gt;"原始數據",$T587&lt;&gt;1)),1,0)</f>
        <v>0</v>
      </c>
      <c r="AI587" s="53" t="str">
        <f aca="false">IF(AND($P587="高",ISNUMBER($AF587)),INDEX(IDX_SrcDate,$AF587),"—")</f>
        <v>—</v>
      </c>
      <c r="AJ587" s="104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6" t="s">
        <v>4777</v>
      </c>
      <c r="B588" s="215" t="s">
        <v>4747</v>
      </c>
      <c r="C588" s="36" t="s">
        <v>4748</v>
      </c>
      <c r="D588" s="36" t="s">
        <v>3687</v>
      </c>
      <c r="E588" s="6" t="s">
        <v>1724</v>
      </c>
      <c r="F588" s="36" t="s">
        <v>80</v>
      </c>
      <c r="G588" s="215" t="s">
        <v>65</v>
      </c>
      <c r="H588" s="36" t="s">
        <v>4778</v>
      </c>
      <c r="I588" s="19" t="s">
        <v>4779</v>
      </c>
      <c r="J588" s="36" t="s">
        <v>587</v>
      </c>
      <c r="K588" s="182" t="n">
        <f aca="false">Alloc_In!D14</f>
        <v>0.6</v>
      </c>
      <c r="L588" s="182" t="n">
        <f aca="false">Alloc_In!E14</f>
        <v>0.9</v>
      </c>
      <c r="M588" s="36" t="s">
        <v>587</v>
      </c>
      <c r="N588" s="6" t="s">
        <v>4780</v>
      </c>
      <c r="O588" s="6" t="s">
        <v>587</v>
      </c>
      <c r="P588" s="215" t="s">
        <v>3244</v>
      </c>
      <c r="Q588" s="182" t="n">
        <f aca="false">Alloc_In!C14</f>
        <v>0.75</v>
      </c>
      <c r="R588" s="185" t="n">
        <f aca="false">SRC_DEM_010</f>
        <v>6</v>
      </c>
      <c r="S588" s="35" t="str">
        <f aca="false">IF(ISNUMBER($AF588),INDEX(IDX_SrcStat,$AF588),"—")</f>
        <v>Active</v>
      </c>
      <c r="T588" s="35" t="n">
        <f aca="false">IF(ISNUMBER($AF588),INDEX(IDX_SrcGrade,$AF588),"—")</f>
        <v>2</v>
      </c>
      <c r="U588" s="35" t="s">
        <v>3189</v>
      </c>
      <c r="V588" s="186" t="n">
        <f aca="false">IF(AND($F588="原始數據",$U588&lt;&gt;"連結 SRC"),1,0)</f>
        <v>0</v>
      </c>
      <c r="W588" s="186" t="n">
        <f aca="false">IF(AND($F588="Analogy",OR($H588="—",$H588="")),1,0)</f>
        <v>0</v>
      </c>
      <c r="X588" s="186" t="n">
        <f aca="false">IF(AND(OR($F588="Analogy",$F588="Assumed"),$G588&lt;&gt;"低",$G588&lt;&gt;"高",NOT(ISNUMBER($K588)),NOT(ISNUMBER($L588)),OR($M588="—",$M588="")),1,0)</f>
        <v>0</v>
      </c>
      <c r="Y588" s="186" t="n">
        <f aca="false">IF(AND(OR($F588="Analogy",$F588="Assumed",$F588="Derived（待改公式）",$F588="Derived（公式）"),OR($N588="—",$N588="",$N588=0)),1,0)</f>
        <v>0</v>
      </c>
      <c r="Z588" s="186" t="n">
        <f aca="false">IF(AND($F588="Decision",OR($J588="—",$J588="")),1,0)</f>
        <v>0</v>
      </c>
      <c r="AA588" s="183" t="n">
        <f aca="false">IF(OR($J588="—",$J588=""),0,IF(COUNTIF(Decisions!$A$5:$A$300,$J588)=0,1,0))</f>
        <v>0</v>
      </c>
      <c r="AB588" s="186" t="n">
        <f aca="false">IF(AND($F588="原始數據",$S588&lt;&gt;"Active"),1,0)</f>
        <v>0</v>
      </c>
      <c r="AC588" s="186" t="n">
        <f aca="false">IF(AND(ISNUMBER($K588),ISNUMBER($L588),ISNUMBER($Q588)),IF(OR($Q588&lt;MIN($K588,$L588),$Q588&gt;MAX($K588,$L588)),1,0),0)</f>
        <v>0</v>
      </c>
      <c r="AD588" s="186" t="n">
        <f aca="false">IF(AND(ISNUMBER($T588),$P588="高"),IF($T588=3,1,0),0)</f>
        <v>0</v>
      </c>
      <c r="AE588" s="186" t="n">
        <f aca="false">IF($S588="不存在",1,0)</f>
        <v>0</v>
      </c>
      <c r="AF588" s="35" t="n">
        <f aca="false">IF(OR($H588="—",$H588=""),"—",MATCH($H588,IDX_SrcID,0))</f>
        <v>637</v>
      </c>
      <c r="AG588" s="104" t="n">
        <f aca="false">IF(AND($P588="高",OR($AD588=1,$X588=1)),1,0)</f>
        <v>0</v>
      </c>
      <c r="AH588" s="104" t="n">
        <f aca="false">IF(AND($P588="高",$AG588=0,OR($F588&lt;&gt;"原始數據",$T588&lt;&gt;1)),1,0)</f>
        <v>0</v>
      </c>
      <c r="AI588" s="53" t="str">
        <f aca="false">IF(AND($P588="高",ISNUMBER($AF588)),INDEX(IDX_SrcDate,$AF588),"—")</f>
        <v>—</v>
      </c>
      <c r="AJ588" s="104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6" t="s">
        <v>4781</v>
      </c>
      <c r="B589" s="215" t="s">
        <v>4747</v>
      </c>
      <c r="C589" s="36" t="s">
        <v>4748</v>
      </c>
      <c r="D589" s="36" t="s">
        <v>4262</v>
      </c>
      <c r="E589" s="6" t="s">
        <v>1724</v>
      </c>
      <c r="F589" s="36" t="s">
        <v>80</v>
      </c>
      <c r="G589" s="215" t="s">
        <v>4250</v>
      </c>
      <c r="H589" s="36" t="s">
        <v>587</v>
      </c>
      <c r="I589" s="6" t="s">
        <v>587</v>
      </c>
      <c r="J589" s="36" t="s">
        <v>587</v>
      </c>
      <c r="K589" s="215"/>
      <c r="L589" s="215"/>
      <c r="M589" s="36" t="s">
        <v>4263</v>
      </c>
      <c r="N589" s="6" t="s">
        <v>4782</v>
      </c>
      <c r="O589" s="6" t="s">
        <v>587</v>
      </c>
      <c r="P589" s="36" t="s">
        <v>587</v>
      </c>
      <c r="Q589" s="185" t="s">
        <v>587</v>
      </c>
      <c r="R589" s="36" t="s">
        <v>587</v>
      </c>
      <c r="S589" s="35" t="str">
        <f aca="false">IF(ISNUMBER($AF589),INDEX(IDX_SrcStat,$AF589),"—")</f>
        <v>—</v>
      </c>
      <c r="T589" s="35" t="str">
        <f aca="false">IF(ISNUMBER($AF589),INDEX(IDX_SrcGrade,$AF589),"—")</f>
        <v>—</v>
      </c>
      <c r="U589" s="36" t="s">
        <v>587</v>
      </c>
      <c r="V589" s="186" t="n">
        <f aca="false">IF(AND($F589="原始數據",$U589&lt;&gt;"連結 SRC"),1,0)</f>
        <v>0</v>
      </c>
      <c r="W589" s="186" t="n">
        <f aca="false">IF(AND($F589="Analogy",OR($H589="—",$H589="")),1,0)</f>
        <v>0</v>
      </c>
      <c r="X589" s="186" t="n">
        <f aca="false">IF(AND(OR($F589="Analogy",$F589="Assumed"),$G589&lt;&gt;"低",$G589&lt;&gt;"高",NOT(ISNUMBER($K589)),NOT(ISNUMBER($L589)),OR($M589="—",$M589="")),1,0)</f>
        <v>0</v>
      </c>
      <c r="Y589" s="186" t="n">
        <f aca="false">IF(AND(OR($F589="Analogy",$F589="Assumed",$F589="Derived（待改公式）",$F589="Derived（公式）"),OR($N589="—",$N589="",$N589=0)),1,0)</f>
        <v>0</v>
      </c>
      <c r="Z589" s="186" t="n">
        <f aca="false">IF(AND($F589="Decision",OR($J589="—",$J589="")),1,0)</f>
        <v>0</v>
      </c>
      <c r="AA589" s="183" t="n">
        <f aca="false">IF(OR($J589="—",$J589=""),0,IF(COUNTIF(Decisions!$A$5:$A$300,$J589)=0,1,0))</f>
        <v>0</v>
      </c>
      <c r="AB589" s="186" t="n">
        <f aca="false">IF(AND($F589="原始數據",$S589&lt;&gt;"Active"),1,0)</f>
        <v>0</v>
      </c>
      <c r="AC589" s="186" t="n">
        <f aca="false">IF(AND(ISNUMBER($K589),ISNUMBER($L589),ISNUMBER($Q589)),IF(OR($Q589&lt;MIN($K589,$L589),$Q589&gt;MAX($K589,$L589)),1,0),0)</f>
        <v>0</v>
      </c>
      <c r="AD589" s="186" t="n">
        <f aca="false">IF(AND(ISNUMBER($T589),$P589="高"),IF($T589=3,1,0),0)</f>
        <v>0</v>
      </c>
      <c r="AE589" s="186" t="n">
        <f aca="false">IF($S589="不存在",1,0)</f>
        <v>0</v>
      </c>
      <c r="AF589" s="35" t="str">
        <f aca="false">IF(OR($H589="—",$H589=""),"—",MATCH($H589,IDX_SrcID,0))</f>
        <v>—</v>
      </c>
      <c r="AG589" s="104" t="n">
        <f aca="false">IF(AND($P589="高",OR($AD589=1,$X589=1)),1,0)</f>
        <v>0</v>
      </c>
      <c r="AH589" s="104" t="n">
        <f aca="false">IF(AND($P589="高",$AG589=0,OR($F589&lt;&gt;"原始數據",$T589&lt;&gt;1)),1,0)</f>
        <v>0</v>
      </c>
      <c r="AI589" s="53" t="str">
        <f aca="false">IF(AND($P589="高",ISNUMBER($AF589)),INDEX(IDX_SrcDate,$AF589),"—")</f>
        <v>—</v>
      </c>
      <c r="AJ589" s="104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6" t="s">
        <v>4783</v>
      </c>
      <c r="B590" s="215" t="s">
        <v>4747</v>
      </c>
      <c r="C590" s="36" t="s">
        <v>4748</v>
      </c>
      <c r="D590" s="36" t="s">
        <v>3691</v>
      </c>
      <c r="E590" s="19" t="s">
        <v>4784</v>
      </c>
      <c r="F590" s="36" t="s">
        <v>80</v>
      </c>
      <c r="G590" s="215" t="s">
        <v>65</v>
      </c>
      <c r="H590" s="36" t="s">
        <v>4785</v>
      </c>
      <c r="I590" s="19" t="s">
        <v>4786</v>
      </c>
      <c r="J590" s="36" t="s">
        <v>587</v>
      </c>
      <c r="K590" s="41" t="n">
        <f aca="false">Alloc_In!D15</f>
        <v>2000</v>
      </c>
      <c r="L590" s="41" t="n">
        <f aca="false">Alloc_In!E15</f>
        <v>6400</v>
      </c>
      <c r="M590" s="36" t="s">
        <v>4787</v>
      </c>
      <c r="N590" s="6" t="s">
        <v>4788</v>
      </c>
      <c r="O590" s="6" t="s">
        <v>587</v>
      </c>
      <c r="P590" s="215" t="s">
        <v>1116</v>
      </c>
      <c r="Q590" s="41" t="n">
        <f aca="false">Alloc_In!C15</f>
        <v>4000</v>
      </c>
      <c r="R590" s="185" t="n">
        <f aca="false">SRC_DEM_012</f>
        <v>2.5</v>
      </c>
      <c r="S590" s="35" t="str">
        <f aca="false">IF(ISNUMBER($AF590),INDEX(IDX_SrcStat,$AF590),"—")</f>
        <v>Active</v>
      </c>
      <c r="T590" s="35" t="n">
        <f aca="false">IF(ISNUMBER($AF590),INDEX(IDX_SrcGrade,$AF590),"—")</f>
        <v>2</v>
      </c>
      <c r="U590" s="35" t="s">
        <v>3189</v>
      </c>
      <c r="V590" s="186" t="n">
        <f aca="false">IF(AND($F590="原始數據",$U590&lt;&gt;"連結 SRC"),1,0)</f>
        <v>0</v>
      </c>
      <c r="W590" s="186" t="n">
        <f aca="false">IF(AND($F590="Analogy",OR($H590="—",$H590="")),1,0)</f>
        <v>0</v>
      </c>
      <c r="X590" s="186" t="n">
        <f aca="false">IF(AND(OR($F590="Analogy",$F590="Assumed"),$G590&lt;&gt;"低",$G590&lt;&gt;"高",NOT(ISNUMBER($K590)),NOT(ISNUMBER($L590)),OR($M590="—",$M590="")),1,0)</f>
        <v>0</v>
      </c>
      <c r="Y590" s="186" t="n">
        <f aca="false">IF(AND(OR($F590="Analogy",$F590="Assumed",$F590="Derived（待改公式）",$F590="Derived（公式）"),OR($N590="—",$N590="",$N590=0)),1,0)</f>
        <v>0</v>
      </c>
      <c r="Z590" s="186" t="n">
        <f aca="false">IF(AND($F590="Decision",OR($J590="—",$J590="")),1,0)</f>
        <v>0</v>
      </c>
      <c r="AA590" s="183" t="n">
        <f aca="false">IF(OR($J590="—",$J590=""),0,IF(COUNTIF(Decisions!$A$5:$A$300,$J590)=0,1,0))</f>
        <v>0</v>
      </c>
      <c r="AB590" s="186" t="n">
        <f aca="false">IF(AND($F590="原始數據",$S590&lt;&gt;"Active"),1,0)</f>
        <v>0</v>
      </c>
      <c r="AC590" s="186" t="n">
        <f aca="false">IF(AND(ISNUMBER($K590),ISNUMBER($L590),ISNUMBER($Q590)),IF(OR($Q590&lt;MIN($K590,$L590),$Q590&gt;MAX($K590,$L590)),1,0),0)</f>
        <v>0</v>
      </c>
      <c r="AD590" s="186" t="n">
        <f aca="false">IF(AND(ISNUMBER($T590),$P590="高"),IF($T590=3,1,0),0)</f>
        <v>0</v>
      </c>
      <c r="AE590" s="186" t="n">
        <f aca="false">IF($S590="不存在",1,0)</f>
        <v>0</v>
      </c>
      <c r="AF590" s="35" t="n">
        <f aca="false">IF(OR($H590="—",$H590=""),"—",MATCH($H590,IDX_SrcID,0))</f>
        <v>639</v>
      </c>
      <c r="AG590" s="104" t="n">
        <f aca="false">IF(AND($P590="高",OR($AD590=1,$X590=1)),1,0)</f>
        <v>0</v>
      </c>
      <c r="AH590" s="104" t="n">
        <f aca="false">IF(AND($P590="高",$AG590=0,OR($F590&lt;&gt;"原始數據",$T590&lt;&gt;1)),1,0)</f>
        <v>1</v>
      </c>
      <c r="AI590" s="53" t="str">
        <f aca="false">IF(AND($P590="高",ISNUMBER($AF590)),INDEX(IDX_SrcDate,$AF590),"—")</f>
        <v>—</v>
      </c>
      <c r="AJ590" s="104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6" t="s">
        <v>4789</v>
      </c>
      <c r="B591" s="215" t="s">
        <v>4747</v>
      </c>
      <c r="C591" s="36" t="s">
        <v>4748</v>
      </c>
      <c r="D591" s="36" t="s">
        <v>4268</v>
      </c>
      <c r="E591" s="19" t="s">
        <v>4784</v>
      </c>
      <c r="F591" s="36" t="s">
        <v>80</v>
      </c>
      <c r="G591" s="215" t="s">
        <v>4250</v>
      </c>
      <c r="H591" s="36" t="s">
        <v>587</v>
      </c>
      <c r="I591" s="6" t="s">
        <v>587</v>
      </c>
      <c r="J591" s="36" t="s">
        <v>587</v>
      </c>
      <c r="K591" s="215"/>
      <c r="L591" s="215"/>
      <c r="M591" s="36" t="s">
        <v>4269</v>
      </c>
      <c r="N591" s="6" t="s">
        <v>4790</v>
      </c>
      <c r="O591" s="6" t="s">
        <v>587</v>
      </c>
      <c r="P591" s="36" t="s">
        <v>587</v>
      </c>
      <c r="Q591" s="185" t="s">
        <v>587</v>
      </c>
      <c r="R591" s="36" t="s">
        <v>587</v>
      </c>
      <c r="S591" s="35" t="str">
        <f aca="false">IF(ISNUMBER($AF591),INDEX(IDX_SrcStat,$AF591),"—")</f>
        <v>—</v>
      </c>
      <c r="T591" s="35" t="str">
        <f aca="false">IF(ISNUMBER($AF591),INDEX(IDX_SrcGrade,$AF591),"—")</f>
        <v>—</v>
      </c>
      <c r="U591" s="36" t="s">
        <v>587</v>
      </c>
      <c r="V591" s="186" t="n">
        <f aca="false">IF(AND($F591="原始數據",$U591&lt;&gt;"連結 SRC"),1,0)</f>
        <v>0</v>
      </c>
      <c r="W591" s="186" t="n">
        <f aca="false">IF(AND($F591="Analogy",OR($H591="—",$H591="")),1,0)</f>
        <v>0</v>
      </c>
      <c r="X591" s="186" t="n">
        <f aca="false">IF(AND(OR($F591="Analogy",$F591="Assumed"),$G591&lt;&gt;"低",$G591&lt;&gt;"高",NOT(ISNUMBER($K591)),NOT(ISNUMBER($L591)),OR($M591="—",$M591="")),1,0)</f>
        <v>0</v>
      </c>
      <c r="Y591" s="186" t="n">
        <f aca="false">IF(AND(OR($F591="Analogy",$F591="Assumed",$F591="Derived（待改公式）",$F591="Derived（公式）"),OR($N591="—",$N591="",$N591=0)),1,0)</f>
        <v>0</v>
      </c>
      <c r="Z591" s="186" t="n">
        <f aca="false">IF(AND($F591="Decision",OR($J591="—",$J591="")),1,0)</f>
        <v>0</v>
      </c>
      <c r="AA591" s="183" t="n">
        <f aca="false">IF(OR($J591="—",$J591=""),0,IF(COUNTIF(Decisions!$A$5:$A$300,$J591)=0,1,0))</f>
        <v>0</v>
      </c>
      <c r="AB591" s="186" t="n">
        <f aca="false">IF(AND($F591="原始數據",$S591&lt;&gt;"Active"),1,0)</f>
        <v>0</v>
      </c>
      <c r="AC591" s="186" t="n">
        <f aca="false">IF(AND(ISNUMBER($K591),ISNUMBER($L591),ISNUMBER($Q591)),IF(OR($Q591&lt;MIN($K591,$L591),$Q591&gt;MAX($K591,$L591)),1,0),0)</f>
        <v>0</v>
      </c>
      <c r="AD591" s="186" t="n">
        <f aca="false">IF(AND(ISNUMBER($T591),$P591="高"),IF($T591=3,1,0),0)</f>
        <v>0</v>
      </c>
      <c r="AE591" s="186" t="n">
        <f aca="false">IF($S591="不存在",1,0)</f>
        <v>0</v>
      </c>
      <c r="AF591" s="35" t="str">
        <f aca="false">IF(OR($H591="—",$H591=""),"—",MATCH($H591,IDX_SrcID,0))</f>
        <v>—</v>
      </c>
      <c r="AG591" s="104" t="n">
        <f aca="false">IF(AND($P591="高",OR($AD591=1,$X591=1)),1,0)</f>
        <v>0</v>
      </c>
      <c r="AH591" s="104" t="n">
        <f aca="false">IF(AND($P591="高",$AG591=0,OR($F591&lt;&gt;"原始數據",$T591&lt;&gt;1)),1,0)</f>
        <v>0</v>
      </c>
      <c r="AI591" s="53" t="str">
        <f aca="false">IF(AND($P591="高",ISNUMBER($AF591)),INDEX(IDX_SrcDate,$AF591),"—")</f>
        <v>—</v>
      </c>
      <c r="AJ591" s="104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6" t="s">
        <v>4791</v>
      </c>
      <c r="B592" s="215" t="s">
        <v>4747</v>
      </c>
      <c r="C592" s="36" t="s">
        <v>4748</v>
      </c>
      <c r="D592" s="36" t="s">
        <v>3696</v>
      </c>
      <c r="E592" s="6" t="s">
        <v>1728</v>
      </c>
      <c r="F592" s="36" t="s">
        <v>80</v>
      </c>
      <c r="G592" s="215" t="s">
        <v>65</v>
      </c>
      <c r="H592" s="36" t="s">
        <v>4292</v>
      </c>
      <c r="I592" s="19" t="s">
        <v>4792</v>
      </c>
      <c r="J592" s="36" t="s">
        <v>587</v>
      </c>
      <c r="K592" s="177" t="n">
        <f aca="false">Alloc_In!D16</f>
        <v>0.4</v>
      </c>
      <c r="L592" s="177" t="n">
        <f aca="false">Alloc_In!E16</f>
        <v>0.8</v>
      </c>
      <c r="M592" s="36" t="s">
        <v>587</v>
      </c>
      <c r="N592" s="19" t="s">
        <v>4793</v>
      </c>
      <c r="O592" s="6" t="s">
        <v>587</v>
      </c>
      <c r="P592" s="215" t="s">
        <v>1115</v>
      </c>
      <c r="Q592" s="177" t="n">
        <f aca="false">Alloc_In!C16</f>
        <v>0.6</v>
      </c>
      <c r="R592" s="185" t="n">
        <f aca="false">SRC_DEM_005</f>
        <v>3.9</v>
      </c>
      <c r="S592" s="35" t="str">
        <f aca="false">IF(ISNUMBER($AF592),INDEX(IDX_SrcStat,$AF592),"—")</f>
        <v>Active</v>
      </c>
      <c r="T592" s="35" t="n">
        <f aca="false">IF(ISNUMBER($AF592),INDEX(IDX_SrcGrade,$AF592),"—")</f>
        <v>2</v>
      </c>
      <c r="U592" s="35" t="s">
        <v>3189</v>
      </c>
      <c r="V592" s="186" t="n">
        <f aca="false">IF(AND($F592="原始數據",$U592&lt;&gt;"連結 SRC"),1,0)</f>
        <v>0</v>
      </c>
      <c r="W592" s="186" t="n">
        <f aca="false">IF(AND($F592="Analogy",OR($H592="—",$H592="")),1,0)</f>
        <v>0</v>
      </c>
      <c r="X592" s="186" t="n">
        <f aca="false">IF(AND(OR($F592="Analogy",$F592="Assumed"),$G592&lt;&gt;"低",$G592&lt;&gt;"高",NOT(ISNUMBER($K592)),NOT(ISNUMBER($L592)),OR($M592="—",$M592="")),1,0)</f>
        <v>0</v>
      </c>
      <c r="Y592" s="186" t="n">
        <f aca="false">IF(AND(OR($F592="Analogy",$F592="Assumed",$F592="Derived（待改公式）",$F592="Derived（公式）"),OR($N592="—",$N592="",$N592=0)),1,0)</f>
        <v>0</v>
      </c>
      <c r="Z592" s="186" t="n">
        <f aca="false">IF(AND($F592="Decision",OR($J592="—",$J592="")),1,0)</f>
        <v>0</v>
      </c>
      <c r="AA592" s="183" t="n">
        <f aca="false">IF(OR($J592="—",$J592=""),0,IF(COUNTIF(Decisions!$A$5:$A$300,$J592)=0,1,0))</f>
        <v>0</v>
      </c>
      <c r="AB592" s="186" t="n">
        <f aca="false">IF(AND($F592="原始數據",$S592&lt;&gt;"Active"),1,0)</f>
        <v>0</v>
      </c>
      <c r="AC592" s="186" t="n">
        <f aca="false">IF(AND(ISNUMBER($K592),ISNUMBER($L592),ISNUMBER($Q592)),IF(OR($Q592&lt;MIN($K592,$L592),$Q592&gt;MAX($K592,$L592)),1,0),0)</f>
        <v>0</v>
      </c>
      <c r="AD592" s="186" t="n">
        <f aca="false">IF(AND(ISNUMBER($T592),$P592="高"),IF($T592=3,1,0),0)</f>
        <v>0</v>
      </c>
      <c r="AE592" s="186" t="n">
        <f aca="false">IF($S592="不存在",1,0)</f>
        <v>0</v>
      </c>
      <c r="AF592" s="35" t="n">
        <f aca="false">IF(OR($H592="—",$H592=""),"—",MATCH($H592,IDX_SrcID,0))</f>
        <v>632</v>
      </c>
      <c r="AG592" s="104" t="n">
        <f aca="false">IF(AND($P592="高",OR($AD592=1,$X592=1)),1,0)</f>
        <v>0</v>
      </c>
      <c r="AH592" s="104" t="n">
        <f aca="false">IF(AND($P592="高",$AG592=0,OR($F592&lt;&gt;"原始數據",$T592&lt;&gt;1)),1,0)</f>
        <v>0</v>
      </c>
      <c r="AI592" s="53" t="str">
        <f aca="false">IF(AND($P592="高",ISNUMBER($AF592)),INDEX(IDX_SrcDate,$AF592),"—")</f>
        <v>—</v>
      </c>
      <c r="AJ592" s="104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6" t="s">
        <v>4794</v>
      </c>
      <c r="B593" s="215" t="s">
        <v>4747</v>
      </c>
      <c r="C593" s="36" t="s">
        <v>4748</v>
      </c>
      <c r="D593" s="36" t="s">
        <v>4795</v>
      </c>
      <c r="E593" s="6" t="s">
        <v>1728</v>
      </c>
      <c r="F593" s="36" t="s">
        <v>80</v>
      </c>
      <c r="G593" s="215" t="s">
        <v>4250</v>
      </c>
      <c r="H593" s="36" t="s">
        <v>587</v>
      </c>
      <c r="I593" s="6" t="s">
        <v>587</v>
      </c>
      <c r="J593" s="36" t="s">
        <v>587</v>
      </c>
      <c r="K593" s="215"/>
      <c r="L593" s="215"/>
      <c r="M593" s="36" t="s">
        <v>4796</v>
      </c>
      <c r="N593" s="19" t="s">
        <v>4797</v>
      </c>
      <c r="O593" s="6" t="s">
        <v>587</v>
      </c>
      <c r="P593" s="36" t="s">
        <v>587</v>
      </c>
      <c r="Q593" s="185" t="s">
        <v>587</v>
      </c>
      <c r="R593" s="36" t="s">
        <v>587</v>
      </c>
      <c r="S593" s="35" t="str">
        <f aca="false">IF(ISNUMBER($AF593),INDEX(IDX_SrcStat,$AF593),"—")</f>
        <v>—</v>
      </c>
      <c r="T593" s="35" t="str">
        <f aca="false">IF(ISNUMBER($AF593),INDEX(IDX_SrcGrade,$AF593),"—")</f>
        <v>—</v>
      </c>
      <c r="U593" s="36" t="s">
        <v>587</v>
      </c>
      <c r="V593" s="186" t="n">
        <f aca="false">IF(AND($F593="原始數據",$U593&lt;&gt;"連結 SRC"),1,0)</f>
        <v>0</v>
      </c>
      <c r="W593" s="186" t="n">
        <f aca="false">IF(AND($F593="Analogy",OR($H593="—",$H593="")),1,0)</f>
        <v>0</v>
      </c>
      <c r="X593" s="186" t="n">
        <f aca="false">IF(AND(OR($F593="Analogy",$F593="Assumed"),$G593&lt;&gt;"低",$G593&lt;&gt;"高",NOT(ISNUMBER($K593)),NOT(ISNUMBER($L593)),OR($M593="—",$M593="")),1,0)</f>
        <v>0</v>
      </c>
      <c r="Y593" s="186" t="n">
        <f aca="false">IF(AND(OR($F593="Analogy",$F593="Assumed",$F593="Derived（待改公式）",$F593="Derived（公式）"),OR($N593="—",$N593="",$N593=0)),1,0)</f>
        <v>0</v>
      </c>
      <c r="Z593" s="186" t="n">
        <f aca="false">IF(AND($F593="Decision",OR($J593="—",$J593="")),1,0)</f>
        <v>0</v>
      </c>
      <c r="AA593" s="183" t="n">
        <f aca="false">IF(OR($J593="—",$J593=""),0,IF(COUNTIF(Decisions!$A$5:$A$300,$J593)=0,1,0))</f>
        <v>0</v>
      </c>
      <c r="AB593" s="186" t="n">
        <f aca="false">IF(AND($F593="原始數據",$S593&lt;&gt;"Active"),1,0)</f>
        <v>0</v>
      </c>
      <c r="AC593" s="186" t="n">
        <f aca="false">IF(AND(ISNUMBER($K593),ISNUMBER($L593),ISNUMBER($Q593)),IF(OR($Q593&lt;MIN($K593,$L593),$Q593&gt;MAX($K593,$L593)),1,0),0)</f>
        <v>0</v>
      </c>
      <c r="AD593" s="186" t="n">
        <f aca="false">IF(AND(ISNUMBER($T593),$P593="高"),IF($T593=3,1,0),0)</f>
        <v>0</v>
      </c>
      <c r="AE593" s="186" t="n">
        <f aca="false">IF($S593="不存在",1,0)</f>
        <v>0</v>
      </c>
      <c r="AF593" s="35" t="str">
        <f aca="false">IF(OR($H593="—",$H593=""),"—",MATCH($H593,IDX_SrcID,0))</f>
        <v>—</v>
      </c>
      <c r="AG593" s="104" t="n">
        <f aca="false">IF(AND($P593="高",OR($AD593=1,$X593=1)),1,0)</f>
        <v>0</v>
      </c>
      <c r="AH593" s="104" t="n">
        <f aca="false">IF(AND($P593="高",$AG593=0,OR($F593&lt;&gt;"原始數據",$T593&lt;&gt;1)),1,0)</f>
        <v>0</v>
      </c>
      <c r="AI593" s="53" t="str">
        <f aca="false">IF(AND($P593="高",ISNUMBER($AF593)),INDEX(IDX_SrcDate,$AF593),"—")</f>
        <v>—</v>
      </c>
      <c r="AJ593" s="104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6" t="s">
        <v>4798</v>
      </c>
      <c r="B594" s="215" t="s">
        <v>4747</v>
      </c>
      <c r="C594" s="36" t="s">
        <v>4748</v>
      </c>
      <c r="D594" s="36" t="s">
        <v>4799</v>
      </c>
      <c r="E594" s="19" t="s">
        <v>4800</v>
      </c>
      <c r="F594" s="36" t="s">
        <v>80</v>
      </c>
      <c r="G594" s="215" t="s">
        <v>3930</v>
      </c>
      <c r="H594" s="36" t="s">
        <v>587</v>
      </c>
      <c r="I594" s="6" t="s">
        <v>587</v>
      </c>
      <c r="J594" s="36" t="s">
        <v>587</v>
      </c>
      <c r="K594" s="215"/>
      <c r="L594" s="215"/>
      <c r="M594" s="215" t="s">
        <v>4801</v>
      </c>
      <c r="N594" s="6" t="s">
        <v>4802</v>
      </c>
      <c r="O594" s="6" t="s">
        <v>587</v>
      </c>
      <c r="P594" s="36" t="s">
        <v>587</v>
      </c>
      <c r="Q594" s="185" t="s">
        <v>587</v>
      </c>
      <c r="R594" s="36" t="s">
        <v>587</v>
      </c>
      <c r="S594" s="35" t="str">
        <f aca="false">IF(ISNUMBER($AF594),INDEX(IDX_SrcStat,$AF594),"—")</f>
        <v>—</v>
      </c>
      <c r="T594" s="35" t="str">
        <f aca="false">IF(ISNUMBER($AF594),INDEX(IDX_SrcGrade,$AF594),"—")</f>
        <v>—</v>
      </c>
      <c r="U594" s="36" t="s">
        <v>587</v>
      </c>
      <c r="V594" s="186" t="n">
        <f aca="false">IF(AND($F594="原始數據",$U594&lt;&gt;"連結 SRC"),1,0)</f>
        <v>0</v>
      </c>
      <c r="W594" s="186" t="n">
        <f aca="false">IF(AND($F594="Analogy",OR($H594="—",$H594="")),1,0)</f>
        <v>0</v>
      </c>
      <c r="X594" s="186" t="n">
        <f aca="false">IF(AND(OR($F594="Analogy",$F594="Assumed"),$G594&lt;&gt;"低",$G594&lt;&gt;"高",NOT(ISNUMBER($K594)),NOT(ISNUMBER($L594)),OR($M594="—",$M594="")),1,0)</f>
        <v>0</v>
      </c>
      <c r="Y594" s="186" t="n">
        <f aca="false">IF(AND(OR($F594="Analogy",$F594="Assumed",$F594="Derived（待改公式）",$F594="Derived（公式）"),OR($N594="—",$N594="",$N594=0)),1,0)</f>
        <v>0</v>
      </c>
      <c r="Z594" s="186" t="n">
        <f aca="false">IF(AND($F594="Decision",OR($J594="—",$J594="")),1,0)</f>
        <v>0</v>
      </c>
      <c r="AA594" s="183" t="n">
        <f aca="false">IF(OR($J594="—",$J594=""),0,IF(COUNTIF(Decisions!$A$5:$A$300,$J594)=0,1,0))</f>
        <v>0</v>
      </c>
      <c r="AB594" s="186" t="n">
        <f aca="false">IF(AND($F594="原始數據",$S594&lt;&gt;"Active"),1,0)</f>
        <v>0</v>
      </c>
      <c r="AC594" s="186" t="n">
        <f aca="false">IF(AND(ISNUMBER($K594),ISNUMBER($L594),ISNUMBER($Q594)),IF(OR($Q594&lt;MIN($K594,$L594),$Q594&gt;MAX($K594,$L594)),1,0),0)</f>
        <v>0</v>
      </c>
      <c r="AD594" s="186" t="n">
        <f aca="false">IF(AND(ISNUMBER($T594),$P594="高"),IF($T594=3,1,0),0)</f>
        <v>0</v>
      </c>
      <c r="AE594" s="186" t="n">
        <f aca="false">IF($S594="不存在",1,0)</f>
        <v>0</v>
      </c>
      <c r="AF594" s="35" t="str">
        <f aca="false">IF(OR($H594="—",$H594=""),"—",MATCH($H594,IDX_SrcID,0))</f>
        <v>—</v>
      </c>
      <c r="AG594" s="104" t="n">
        <f aca="false">IF(AND($P594="高",OR($AD594=1,$X594=1)),1,0)</f>
        <v>0</v>
      </c>
      <c r="AH594" s="104" t="n">
        <f aca="false">IF(AND($P594="高",$AG594=0,OR($F594&lt;&gt;"原始數據",$T594&lt;&gt;1)),1,0)</f>
        <v>0</v>
      </c>
      <c r="AI594" s="53" t="str">
        <f aca="false">IF(AND($P594="高",ISNUMBER($AF594)),INDEX(IDX_SrcDate,$AF594),"—")</f>
        <v>—</v>
      </c>
      <c r="AJ594" s="104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6" t="s">
        <v>4803</v>
      </c>
      <c r="B595" s="215" t="s">
        <v>4747</v>
      </c>
      <c r="C595" s="36" t="s">
        <v>4748</v>
      </c>
      <c r="D595" s="36" t="s">
        <v>4804</v>
      </c>
      <c r="E595" s="19" t="s">
        <v>4800</v>
      </c>
      <c r="F595" s="36" t="s">
        <v>80</v>
      </c>
      <c r="G595" s="215" t="s">
        <v>4250</v>
      </c>
      <c r="H595" s="36" t="s">
        <v>587</v>
      </c>
      <c r="I595" s="6" t="s">
        <v>587</v>
      </c>
      <c r="J595" s="36" t="s">
        <v>587</v>
      </c>
      <c r="K595" s="215"/>
      <c r="L595" s="215"/>
      <c r="M595" s="36" t="s">
        <v>4805</v>
      </c>
      <c r="N595" s="6" t="s">
        <v>4806</v>
      </c>
      <c r="O595" s="6" t="s">
        <v>587</v>
      </c>
      <c r="P595" s="36" t="s">
        <v>587</v>
      </c>
      <c r="Q595" s="185" t="s">
        <v>587</v>
      </c>
      <c r="R595" s="36" t="s">
        <v>587</v>
      </c>
      <c r="S595" s="35" t="str">
        <f aca="false">IF(ISNUMBER($AF595),INDEX(IDX_SrcStat,$AF595),"—")</f>
        <v>—</v>
      </c>
      <c r="T595" s="35" t="str">
        <f aca="false">IF(ISNUMBER($AF595),INDEX(IDX_SrcGrade,$AF595),"—")</f>
        <v>—</v>
      </c>
      <c r="U595" s="36" t="s">
        <v>587</v>
      </c>
      <c r="V595" s="186" t="n">
        <f aca="false">IF(AND($F595="原始數據",$U595&lt;&gt;"連結 SRC"),1,0)</f>
        <v>0</v>
      </c>
      <c r="W595" s="186" t="n">
        <f aca="false">IF(AND($F595="Analogy",OR($H595="—",$H595="")),1,0)</f>
        <v>0</v>
      </c>
      <c r="X595" s="186" t="n">
        <f aca="false">IF(AND(OR($F595="Analogy",$F595="Assumed"),$G595&lt;&gt;"低",$G595&lt;&gt;"高",NOT(ISNUMBER($K595)),NOT(ISNUMBER($L595)),OR($M595="—",$M595="")),1,0)</f>
        <v>0</v>
      </c>
      <c r="Y595" s="186" t="n">
        <f aca="false">IF(AND(OR($F595="Analogy",$F595="Assumed",$F595="Derived（待改公式）",$F595="Derived（公式）"),OR($N595="—",$N595="",$N595=0)),1,0)</f>
        <v>0</v>
      </c>
      <c r="Z595" s="186" t="n">
        <f aca="false">IF(AND($F595="Decision",OR($J595="—",$J595="")),1,0)</f>
        <v>0</v>
      </c>
      <c r="AA595" s="183" t="n">
        <f aca="false">IF(OR($J595="—",$J595=""),0,IF(COUNTIF(Decisions!$A$5:$A$300,$J595)=0,1,0))</f>
        <v>0</v>
      </c>
      <c r="AB595" s="186" t="n">
        <f aca="false">IF(AND($F595="原始數據",$S595&lt;&gt;"Active"),1,0)</f>
        <v>0</v>
      </c>
      <c r="AC595" s="186" t="n">
        <f aca="false">IF(AND(ISNUMBER($K595),ISNUMBER($L595),ISNUMBER($Q595)),IF(OR($Q595&lt;MIN($K595,$L595),$Q595&gt;MAX($K595,$L595)),1,0),0)</f>
        <v>0</v>
      </c>
      <c r="AD595" s="186" t="n">
        <f aca="false">IF(AND(ISNUMBER($T595),$P595="高"),IF($T595=3,1,0),0)</f>
        <v>0</v>
      </c>
      <c r="AE595" s="186" t="n">
        <f aca="false">IF($S595="不存在",1,0)</f>
        <v>0</v>
      </c>
      <c r="AF595" s="35" t="str">
        <f aca="false">IF(OR($H595="—",$H595=""),"—",MATCH($H595,IDX_SrcID,0))</f>
        <v>—</v>
      </c>
      <c r="AG595" s="104" t="n">
        <f aca="false">IF(AND($P595="高",OR($AD595=1,$X595=1)),1,0)</f>
        <v>0</v>
      </c>
      <c r="AH595" s="104" t="n">
        <f aca="false">IF(AND($P595="高",$AG595=0,OR($F595&lt;&gt;"原始數據",$T595&lt;&gt;1)),1,0)</f>
        <v>0</v>
      </c>
      <c r="AI595" s="53" t="str">
        <f aca="false">IF(AND($P595="高",ISNUMBER($AF595)),INDEX(IDX_SrcDate,$AF595),"—")</f>
        <v>—</v>
      </c>
      <c r="AJ595" s="104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6" t="s">
        <v>4807</v>
      </c>
      <c r="B596" s="215" t="s">
        <v>4808</v>
      </c>
      <c r="C596" s="36" t="s">
        <v>3772</v>
      </c>
      <c r="D596" s="36" t="s">
        <v>3532</v>
      </c>
      <c r="E596" s="19" t="s">
        <v>4809</v>
      </c>
      <c r="F596" s="215" t="s">
        <v>348</v>
      </c>
      <c r="G596" s="215" t="s">
        <v>3185</v>
      </c>
      <c r="H596" s="36" t="s">
        <v>587</v>
      </c>
      <c r="I596" s="6" t="s">
        <v>587</v>
      </c>
      <c r="J596" s="36" t="s">
        <v>3124</v>
      </c>
      <c r="K596" s="217" t="n">
        <v>0.7</v>
      </c>
      <c r="L596" s="217" t="n">
        <v>1</v>
      </c>
      <c r="M596" s="215" t="s">
        <v>4810</v>
      </c>
      <c r="N596" s="6" t="s">
        <v>4811</v>
      </c>
      <c r="O596" s="6" t="s">
        <v>587</v>
      </c>
      <c r="P596" s="215" t="s">
        <v>1116</v>
      </c>
      <c r="Q596" s="175" t="n">
        <f aca="false">Serving!C28</f>
        <v>0.85</v>
      </c>
      <c r="R596" s="36" t="s">
        <v>587</v>
      </c>
      <c r="S596" s="35" t="str">
        <f aca="false">IF(ISNUMBER($AF596),INDEX(IDX_SrcStat,$AF596),"—")</f>
        <v>—</v>
      </c>
      <c r="T596" s="35" t="str">
        <f aca="false">IF(ISNUMBER($AF596),INDEX(IDX_SrcGrade,$AF596),"—")</f>
        <v>—</v>
      </c>
      <c r="U596" s="35" t="s">
        <v>3189</v>
      </c>
      <c r="V596" s="186" t="n">
        <f aca="false">IF(AND($F596="原始數據",$U596&lt;&gt;"連結 SRC"),1,0)</f>
        <v>0</v>
      </c>
      <c r="W596" s="186" t="n">
        <f aca="false">IF(AND($F596="Analogy",OR($H596="—",$H596="")),1,0)</f>
        <v>0</v>
      </c>
      <c r="X596" s="186" t="n">
        <f aca="false">IF(AND(OR($F596="Analogy",$F596="Assumed"),$G596&lt;&gt;"低",$G596&lt;&gt;"高",NOT(ISNUMBER($K596)),NOT(ISNUMBER($L596)),OR($M596="—",$M596="")),1,0)</f>
        <v>0</v>
      </c>
      <c r="Y596" s="186" t="n">
        <f aca="false">IF(AND(OR($F596="Analogy",$F596="Assumed",$F596="Derived（待改公式）",$F596="Derived（公式）"),OR($N596="—",$N596="",$N596=0)),1,0)</f>
        <v>0</v>
      </c>
      <c r="Z596" s="186" t="n">
        <f aca="false">IF(AND($F596="Decision",OR($J596="—",$J596="")),1,0)</f>
        <v>0</v>
      </c>
      <c r="AA596" s="183" t="n">
        <f aca="false">IF(OR($J596="—",$J596=""),0,IF(COUNTIF(Decisions!$A$5:$A$300,$J596)=0,1,0))</f>
        <v>0</v>
      </c>
      <c r="AB596" s="186" t="n">
        <f aca="false">IF(AND($F596="原始數據",$S596&lt;&gt;"Active"),1,0)</f>
        <v>0</v>
      </c>
      <c r="AC596" s="186" t="n">
        <f aca="false">IF(AND(ISNUMBER($K596),ISNUMBER($L596),ISNUMBER($Q596)),IF(OR($Q596&lt;MIN($K596,$L596),$Q596&gt;MAX($K596,$L596)),1,0),0)</f>
        <v>0</v>
      </c>
      <c r="AD596" s="186" t="n">
        <f aca="false">IF(AND(ISNUMBER($T596),$P596="高"),IF($T596=3,1,0),0)</f>
        <v>0</v>
      </c>
      <c r="AE596" s="186" t="n">
        <f aca="false">IF($S596="不存在",1,0)</f>
        <v>0</v>
      </c>
      <c r="AF596" s="35" t="str">
        <f aca="false">IF(OR($H596="—",$H596=""),"—",MATCH($H596,IDX_SrcID,0))</f>
        <v>—</v>
      </c>
      <c r="AG596" s="104" t="n">
        <f aca="false">IF(AND($P596="高",OR($AD596=1,$X596=1)),1,0)</f>
        <v>0</v>
      </c>
      <c r="AH596" s="104" t="n">
        <f aca="false">IF(AND($P596="高",$AG596=0,OR($F596&lt;&gt;"原始數據",$T596&lt;&gt;1)),1,0)</f>
        <v>1</v>
      </c>
      <c r="AI596" s="53" t="str">
        <f aca="false">IF(AND($P596="高",ISNUMBER($AF596)),INDEX(IDX_SrcDate,$AF596),"—")</f>
        <v>—</v>
      </c>
      <c r="AJ596" s="104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6" t="s">
        <v>4812</v>
      </c>
      <c r="B597" s="215" t="s">
        <v>4813</v>
      </c>
      <c r="C597" s="36" t="s">
        <v>4245</v>
      </c>
      <c r="D597" s="36" t="s">
        <v>4814</v>
      </c>
      <c r="E597" s="19" t="s">
        <v>4815</v>
      </c>
      <c r="F597" s="215" t="s">
        <v>348</v>
      </c>
      <c r="G597" s="215" t="s">
        <v>3185</v>
      </c>
      <c r="H597" s="36" t="s">
        <v>587</v>
      </c>
      <c r="I597" s="6" t="s">
        <v>587</v>
      </c>
      <c r="J597" s="36" t="s">
        <v>3128</v>
      </c>
      <c r="K597" s="217" t="n">
        <v>0.3</v>
      </c>
      <c r="L597" s="217" t="n">
        <v>1</v>
      </c>
      <c r="M597" s="215" t="s">
        <v>4816</v>
      </c>
      <c r="N597" s="6" t="s">
        <v>4817</v>
      </c>
      <c r="O597" s="6" t="s">
        <v>587</v>
      </c>
      <c r="P597" s="215" t="s">
        <v>1116</v>
      </c>
      <c r="Q597" s="175" t="n">
        <f aca="false">Cap_In!C63</f>
        <v>1</v>
      </c>
      <c r="R597" s="36" t="s">
        <v>587</v>
      </c>
      <c r="S597" s="35" t="str">
        <f aca="false">IF(ISNUMBER($AF597),INDEX(IDX_SrcStat,$AF597),"—")</f>
        <v>—</v>
      </c>
      <c r="T597" s="35" t="str">
        <f aca="false">IF(ISNUMBER($AF597),INDEX(IDX_SrcGrade,$AF597),"—")</f>
        <v>—</v>
      </c>
      <c r="U597" s="35" t="s">
        <v>3189</v>
      </c>
      <c r="V597" s="186" t="n">
        <f aca="false">IF(AND($F597="原始數據",$U597&lt;&gt;"連結 SRC"),1,0)</f>
        <v>0</v>
      </c>
      <c r="W597" s="186" t="n">
        <f aca="false">IF(AND($F597="Analogy",OR($H597="—",$H597="")),1,0)</f>
        <v>0</v>
      </c>
      <c r="X597" s="186" t="n">
        <f aca="false">IF(AND(OR($F597="Analogy",$F597="Assumed"),$G597&lt;&gt;"低",$G597&lt;&gt;"高",NOT(ISNUMBER($K597)),NOT(ISNUMBER($L597)),OR($M597="—",$M597="")),1,0)</f>
        <v>0</v>
      </c>
      <c r="Y597" s="186" t="n">
        <f aca="false">IF(AND(OR($F597="Analogy",$F597="Assumed",$F597="Derived（待改公式）",$F597="Derived（公式）"),OR($N597="—",$N597="",$N597=0)),1,0)</f>
        <v>0</v>
      </c>
      <c r="Z597" s="186" t="n">
        <f aca="false">IF(AND($F597="Decision",OR($J597="—",$J597="")),1,0)</f>
        <v>0</v>
      </c>
      <c r="AA597" s="183" t="n">
        <f aca="false">IF(OR($J597="—",$J597=""),0,IF(COUNTIF(Decisions!$A$5:$A$300,$J597)=0,1,0))</f>
        <v>0</v>
      </c>
      <c r="AB597" s="186" t="n">
        <f aca="false">IF(AND($F597="原始數據",$S597&lt;&gt;"Active"),1,0)</f>
        <v>0</v>
      </c>
      <c r="AC597" s="186" t="n">
        <f aca="false">IF(AND(ISNUMBER($K597),ISNUMBER($L597),ISNUMBER($Q597)),IF(OR($Q597&lt;MIN($K597,$L597),$Q597&gt;MAX($K597,$L597)),1,0),0)</f>
        <v>0</v>
      </c>
      <c r="AD597" s="186" t="n">
        <f aca="false">IF(AND(ISNUMBER($T597),$P597="高"),IF($T597=3,1,0),0)</f>
        <v>0</v>
      </c>
      <c r="AE597" s="186" t="n">
        <f aca="false">IF($S597="不存在",1,0)</f>
        <v>0</v>
      </c>
      <c r="AF597" s="35" t="str">
        <f aca="false">IF(OR($H597="—",$H597=""),"—",MATCH($H597,IDX_SrcID,0))</f>
        <v>—</v>
      </c>
      <c r="AG597" s="104" t="n">
        <f aca="false">IF(AND($P597="高",OR($AD597=1,$X597=1)),1,0)</f>
        <v>0</v>
      </c>
      <c r="AH597" s="104" t="n">
        <f aca="false">IF(AND($P597="高",$AG597=0,OR($F597&lt;&gt;"原始數據",$T597&lt;&gt;1)),1,0)</f>
        <v>1</v>
      </c>
      <c r="AI597" s="53" t="str">
        <f aca="false">IF(AND($P597="高",ISNUMBER($AF597)),INDEX(IDX_SrcDate,$AF597),"—")</f>
        <v>—</v>
      </c>
      <c r="AJ597" s="104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6" t="s">
        <v>4818</v>
      </c>
      <c r="B598" s="215" t="s">
        <v>4813</v>
      </c>
      <c r="C598" s="36" t="s">
        <v>4245</v>
      </c>
      <c r="D598" s="36" t="s">
        <v>4819</v>
      </c>
      <c r="E598" s="19" t="s">
        <v>4820</v>
      </c>
      <c r="F598" s="215" t="s">
        <v>348</v>
      </c>
      <c r="G598" s="215" t="s">
        <v>3185</v>
      </c>
      <c r="H598" s="36" t="s">
        <v>587</v>
      </c>
      <c r="I598" s="6" t="s">
        <v>587</v>
      </c>
      <c r="J598" s="36" t="s">
        <v>3128</v>
      </c>
      <c r="K598" s="217" t="n">
        <v>0.3</v>
      </c>
      <c r="L598" s="217" t="n">
        <v>1</v>
      </c>
      <c r="M598" s="215" t="s">
        <v>4816</v>
      </c>
      <c r="N598" s="6" t="s">
        <v>4821</v>
      </c>
      <c r="O598" s="6" t="s">
        <v>587</v>
      </c>
      <c r="P598" s="215" t="s">
        <v>1116</v>
      </c>
      <c r="Q598" s="175" t="n">
        <f aca="false">Cap_In!C64</f>
        <v>1</v>
      </c>
      <c r="R598" s="36" t="s">
        <v>587</v>
      </c>
      <c r="S598" s="35" t="str">
        <f aca="false">IF(ISNUMBER($AF598),INDEX(IDX_SrcStat,$AF598),"—")</f>
        <v>—</v>
      </c>
      <c r="T598" s="35" t="str">
        <f aca="false">IF(ISNUMBER($AF598),INDEX(IDX_SrcGrade,$AF598),"—")</f>
        <v>—</v>
      </c>
      <c r="U598" s="35" t="s">
        <v>3189</v>
      </c>
      <c r="V598" s="186" t="n">
        <f aca="false">IF(AND($F598="原始數據",$U598&lt;&gt;"連結 SRC"),1,0)</f>
        <v>0</v>
      </c>
      <c r="W598" s="186" t="n">
        <f aca="false">IF(AND($F598="Analogy",OR($H598="—",$H598="")),1,0)</f>
        <v>0</v>
      </c>
      <c r="X598" s="186" t="n">
        <f aca="false">IF(AND(OR($F598="Analogy",$F598="Assumed"),$G598&lt;&gt;"低",$G598&lt;&gt;"高",NOT(ISNUMBER($K598)),NOT(ISNUMBER($L598)),OR($M598="—",$M598="")),1,0)</f>
        <v>0</v>
      </c>
      <c r="Y598" s="186" t="n">
        <f aca="false">IF(AND(OR($F598="Analogy",$F598="Assumed",$F598="Derived（待改公式）",$F598="Derived（公式）"),OR($N598="—",$N598="",$N598=0)),1,0)</f>
        <v>0</v>
      </c>
      <c r="Z598" s="186" t="n">
        <f aca="false">IF(AND($F598="Decision",OR($J598="—",$J598="")),1,0)</f>
        <v>0</v>
      </c>
      <c r="AA598" s="183" t="n">
        <f aca="false">IF(OR($J598="—",$J598=""),0,IF(COUNTIF(Decisions!$A$5:$A$300,$J598)=0,1,0))</f>
        <v>0</v>
      </c>
      <c r="AB598" s="186" t="n">
        <f aca="false">IF(AND($F598="原始數據",$S598&lt;&gt;"Active"),1,0)</f>
        <v>0</v>
      </c>
      <c r="AC598" s="186" t="n">
        <f aca="false">IF(AND(ISNUMBER($K598),ISNUMBER($L598),ISNUMBER($Q598)),IF(OR($Q598&lt;MIN($K598,$L598),$Q598&gt;MAX($K598,$L598)),1,0),0)</f>
        <v>0</v>
      </c>
      <c r="AD598" s="186" t="n">
        <f aca="false">IF(AND(ISNUMBER($T598),$P598="高"),IF($T598=3,1,0),0)</f>
        <v>0</v>
      </c>
      <c r="AE598" s="186" t="n">
        <f aca="false">IF($S598="不存在",1,0)</f>
        <v>0</v>
      </c>
      <c r="AF598" s="35" t="str">
        <f aca="false">IF(OR($H598="—",$H598=""),"—",MATCH($H598,IDX_SrcID,0))</f>
        <v>—</v>
      </c>
      <c r="AG598" s="104" t="n">
        <f aca="false">IF(AND($P598="高",OR($AD598=1,$X598=1)),1,0)</f>
        <v>0</v>
      </c>
      <c r="AH598" s="104" t="n">
        <f aca="false">IF(AND($P598="高",$AG598=0,OR($F598&lt;&gt;"原始數據",$T598&lt;&gt;1)),1,0)</f>
        <v>1</v>
      </c>
      <c r="AI598" s="53" t="str">
        <f aca="false">IF(AND($P598="高",ISNUMBER($AF598)),INDEX(IDX_SrcDate,$AF598),"—")</f>
        <v>—</v>
      </c>
      <c r="AJ598" s="104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6" t="s">
        <v>4822</v>
      </c>
      <c r="B599" s="215" t="s">
        <v>4823</v>
      </c>
      <c r="C599" s="36" t="s">
        <v>3923</v>
      </c>
      <c r="D599" s="36" t="s">
        <v>4824</v>
      </c>
      <c r="E599" s="19" t="s">
        <v>4825</v>
      </c>
      <c r="F599" s="36" t="s">
        <v>258</v>
      </c>
      <c r="G599" s="215" t="s">
        <v>3185</v>
      </c>
      <c r="H599" s="36" t="s">
        <v>4826</v>
      </c>
      <c r="I599" s="19" t="s">
        <v>4827</v>
      </c>
      <c r="J599" s="36" t="s">
        <v>4828</v>
      </c>
      <c r="K599" s="217" t="n">
        <v>0.7</v>
      </c>
      <c r="L599" s="217" t="n">
        <v>1</v>
      </c>
      <c r="M599" s="215" t="s">
        <v>4829</v>
      </c>
      <c r="N599" s="6" t="s">
        <v>4830</v>
      </c>
      <c r="O599" s="6" t="s">
        <v>587</v>
      </c>
      <c r="P599" s="215" t="s">
        <v>3244</v>
      </c>
      <c r="Q599" s="175" t="n">
        <f aca="false">Calib!F156</f>
        <v>0.75</v>
      </c>
      <c r="R599" s="185" t="n">
        <f aca="false">SRC_PERF_056</f>
        <v>1183326.9</v>
      </c>
      <c r="S599" s="35" t="str">
        <f aca="false">IF(ISNUMBER($AF599),INDEX(IDX_SrcStat,$AF599),"—")</f>
        <v>Active</v>
      </c>
      <c r="T599" s="35" t="n">
        <f aca="false">IF(ISNUMBER($AF599),INDEX(IDX_SrcGrade,$AF599),"—")</f>
        <v>1</v>
      </c>
      <c r="U599" s="35" t="s">
        <v>3189</v>
      </c>
      <c r="V599" s="186" t="n">
        <f aca="false">IF(AND($F599="原始數據",$U599&lt;&gt;"連結 SRC"),1,0)</f>
        <v>0</v>
      </c>
      <c r="W599" s="186" t="n">
        <f aca="false">IF(AND($F599="Analogy",OR($H599="—",$H599="")),1,0)</f>
        <v>0</v>
      </c>
      <c r="X599" s="186" t="n">
        <f aca="false">IF(AND(OR($F599="Analogy",$F599="Assumed"),$G599&lt;&gt;"低",$G599&lt;&gt;"高",NOT(ISNUMBER($K599)),NOT(ISNUMBER($L599)),OR($M599="—",$M599="")),1,0)</f>
        <v>0</v>
      </c>
      <c r="Y599" s="186" t="n">
        <f aca="false">IF(AND(OR($F599="Analogy",$F599="Assumed",$F599="Derived（待改公式）",$F599="Derived（公式）"),OR($N599="—",$N599="",$N599=0)),1,0)</f>
        <v>0</v>
      </c>
      <c r="Z599" s="186" t="n">
        <f aca="false">IF(AND($F599="Decision",OR($J599="—",$J599="")),1,0)</f>
        <v>0</v>
      </c>
      <c r="AA599" s="183" t="n">
        <f aca="false">IF(OR($J599="—",$J599=""),0,IF(COUNTIF(Decisions!$A$5:$A$300,$J599)=0,1,0))</f>
        <v>0</v>
      </c>
      <c r="AB599" s="186" t="n">
        <f aca="false">IF(AND($F599="原始數據",$S599&lt;&gt;"Active"),1,0)</f>
        <v>0</v>
      </c>
      <c r="AC599" s="186" t="n">
        <f aca="false">IF(AND(ISNUMBER($K599),ISNUMBER($L599),ISNUMBER($Q599)),IF(OR($Q599&lt;MIN($K599,$L599),$Q599&gt;MAX($K599,$L599)),1,0),0)</f>
        <v>0</v>
      </c>
      <c r="AD599" s="186" t="n">
        <f aca="false">IF(AND(ISNUMBER($T599),$P599="高"),IF($T599=3,1,0),0)</f>
        <v>0</v>
      </c>
      <c r="AE599" s="186" t="n">
        <f aca="false">IF($S599="不存在",1,0)</f>
        <v>0</v>
      </c>
      <c r="AF599" s="35" t="n">
        <f aca="false">IF(OR($H599="—",$H599=""),"—",MATCH($H599,IDX_SrcID,0))</f>
        <v>344</v>
      </c>
      <c r="AG599" s="104" t="n">
        <f aca="false">IF(AND($P599="高",OR($AD599=1,$X599=1)),1,0)</f>
        <v>0</v>
      </c>
      <c r="AH599" s="104" t="n">
        <f aca="false">IF(AND($P599="高",$AG599=0,OR($F599&lt;&gt;"原始數據",$T599&lt;&gt;1)),1,0)</f>
        <v>0</v>
      </c>
      <c r="AI599" s="53" t="str">
        <f aca="false">IF(AND($P599="高",ISNUMBER($AF599)),INDEX(IDX_SrcDate,$AF599),"—")</f>
        <v>—</v>
      </c>
      <c r="AJ599" s="104" t="n">
        <f aca="false">IF(AND(ISTEXT($AI599),LEN($AI599)=10),IF(ISNUMBER(VALUE(SUBSTITUTE($AI599,"-",""))),VALUE(SUBSTITUTE($AI599,"-","")),0),0)</f>
        <v>0</v>
      </c>
    </row>
    <row r="600" customFormat="false" ht="72.35" hidden="false" customHeight="false" outlineLevel="0" collapsed="false">
      <c r="A600" s="54" t="s">
        <v>4831</v>
      </c>
      <c r="B600" s="53" t="s">
        <v>4832</v>
      </c>
      <c r="C600" s="54" t="s">
        <v>4748</v>
      </c>
      <c r="D600" s="54" t="s">
        <v>3452</v>
      </c>
      <c r="E600" s="5" t="s">
        <v>1733</v>
      </c>
      <c r="F600" s="54" t="s">
        <v>80</v>
      </c>
      <c r="G600" s="53" t="s">
        <v>65</v>
      </c>
      <c r="H600" s="54" t="s">
        <v>587</v>
      </c>
      <c r="I600" s="6" t="s">
        <v>587</v>
      </c>
      <c r="J600" s="54" t="s">
        <v>4833</v>
      </c>
      <c r="K600" s="90" t="n">
        <f aca="false">Alloc_In!D23</f>
        <v>1.5</v>
      </c>
      <c r="L600" s="90" t="n">
        <f aca="false">Alloc_In!E23</f>
        <v>3</v>
      </c>
      <c r="M600" s="54" t="s">
        <v>4834</v>
      </c>
      <c r="N600" s="6" t="s">
        <v>4835</v>
      </c>
      <c r="O600" s="6" t="s">
        <v>587</v>
      </c>
      <c r="P600" s="53" t="s">
        <v>3244</v>
      </c>
      <c r="Q600" s="90" t="n">
        <f aca="false">Alloc_In!C23</f>
        <v>2</v>
      </c>
      <c r="R600" s="54" t="s">
        <v>587</v>
      </c>
      <c r="S600" s="53" t="str">
        <f aca="false">IF(ISNUMBER($AF600),INDEX(IDX_SrcStat,$AF600),"—")</f>
        <v>—</v>
      </c>
      <c r="T600" s="53" t="str">
        <f aca="false">IF(ISNUMBER($AF600),INDEX(IDX_SrcGrade,$AF600),"—")</f>
        <v>—</v>
      </c>
      <c r="U600" s="53" t="s">
        <v>3189</v>
      </c>
      <c r="V600" s="104" t="n">
        <f aca="false">IF(AND($F600="原始數據",$U600&lt;&gt;"連結 SRC"),1,0)</f>
        <v>0</v>
      </c>
      <c r="W600" s="104" t="n">
        <f aca="false">IF(AND($F600="Analogy",OR($H600="—",$H600="")),1,0)</f>
        <v>0</v>
      </c>
      <c r="X600" s="104" t="n">
        <f aca="false">IF(AND(OR($F600="Analogy",$F600="Assumed"),$G600&lt;&gt;"低",$G600&lt;&gt;"高",NOT(ISNUMBER($K600)),NOT(ISNUMBER($L600)),OR($M600="—",$M600="")),1,0)</f>
        <v>0</v>
      </c>
      <c r="Y600" s="104" t="n">
        <f aca="false">IF(AND(OR($F600="Analogy",$F600="Assumed",$F600="Derived（待改公式）",$F600="Derived（公式）"),OR($N600="—",$N600="",$N600=0)),1,0)</f>
        <v>0</v>
      </c>
      <c r="Z600" s="104" t="n">
        <f aca="false">IF(AND($F600="Decision",OR($J600="—",$J600="")),1,0)</f>
        <v>0</v>
      </c>
      <c r="AA600" s="82" t="n">
        <f aca="false">IF(OR($J600="—",$J600=""),0,IF(COUNTIF(Decisions!$A$5:$A$300,$J600)=0,1,0))</f>
        <v>0</v>
      </c>
      <c r="AB600" s="104" t="n">
        <f aca="false">IF(AND($F600="原始數據",$S600&lt;&gt;"Active"),1,0)</f>
        <v>0</v>
      </c>
      <c r="AC600" s="104" t="n">
        <f aca="false">IF(AND(ISNUMBER($K600),ISNUMBER($L600),ISNUMBER($Q600)),IF(OR($Q600&lt;MIN($K600,$L600),$Q600&gt;MAX($K600,$L600)),1,0),0)</f>
        <v>0</v>
      </c>
      <c r="AD600" s="104" t="n">
        <f aca="false">IF(AND(ISNUMBER($T600),$P600="高"),IF($T600=3,1,0),0)</f>
        <v>0</v>
      </c>
      <c r="AE600" s="104" t="n">
        <f aca="false">IF($S600="不存在",1,0)</f>
        <v>0</v>
      </c>
      <c r="AF600" s="53" t="str">
        <f aca="false">IF(OR($H600="—",$H600=""),"—",MATCH($H600,IDX_SrcID,0))</f>
        <v>—</v>
      </c>
      <c r="AG600" s="104" t="n">
        <f aca="false">IF(AND($P600="高",OR($AD600=1,$X600=1)),1,0)</f>
        <v>0</v>
      </c>
      <c r="AH600" s="104" t="n">
        <f aca="false">IF(AND($P600="高",$AG600=0,OR($F600&lt;&gt;"原始數據",$T600&lt;&gt;1)),1,0)</f>
        <v>0</v>
      </c>
      <c r="AI600" s="53" t="str">
        <f aca="false">IF(AND($P600="高",ISNUMBER($AF600)),INDEX(IDX_SrcDate,$AF600),"—")</f>
        <v>—</v>
      </c>
      <c r="AJ600" s="104" t="n">
        <f aca="false">IF(AND(ISTEXT($AI600),LEN($AI600)=10),IF(ISNUMBER(VALUE(SUBSTITUTE($AI600,"-",""))),VALUE(SUBSTITUTE($AI600,"-","")),0),0)</f>
        <v>0</v>
      </c>
    </row>
    <row r="601" customFormat="false" ht="58.2" hidden="false" customHeight="false" outlineLevel="0" collapsed="false">
      <c r="A601" s="54" t="s">
        <v>4836</v>
      </c>
      <c r="B601" s="53" t="s">
        <v>4832</v>
      </c>
      <c r="C601" s="54" t="s">
        <v>4748</v>
      </c>
      <c r="D601" s="54" t="s">
        <v>4837</v>
      </c>
      <c r="E601" s="5" t="s">
        <v>1733</v>
      </c>
      <c r="F601" s="54" t="s">
        <v>80</v>
      </c>
      <c r="G601" s="53" t="s">
        <v>4250</v>
      </c>
      <c r="H601" s="54" t="s">
        <v>587</v>
      </c>
      <c r="I601" s="6" t="s">
        <v>587</v>
      </c>
      <c r="J601" s="54" t="s">
        <v>4833</v>
      </c>
      <c r="K601" s="53"/>
      <c r="L601" s="53"/>
      <c r="M601" s="54" t="s">
        <v>4838</v>
      </c>
      <c r="N601" s="6" t="s">
        <v>4839</v>
      </c>
      <c r="O601" s="6" t="s">
        <v>587</v>
      </c>
      <c r="P601" s="54" t="s">
        <v>587</v>
      </c>
      <c r="Q601" s="85" t="s">
        <v>587</v>
      </c>
      <c r="R601" s="54" t="s">
        <v>587</v>
      </c>
      <c r="S601" s="53" t="str">
        <f aca="false">IF(ISNUMBER($AF601),INDEX(IDX_SrcStat,$AF601),"—")</f>
        <v>—</v>
      </c>
      <c r="T601" s="53" t="str">
        <f aca="false">IF(ISNUMBER($AF601),INDEX(IDX_SrcGrade,$AF601),"—")</f>
        <v>—</v>
      </c>
      <c r="U601" s="54" t="s">
        <v>587</v>
      </c>
      <c r="V601" s="104" t="n">
        <f aca="false">IF(AND($F601="原始數據",$U601&lt;&gt;"連結 SRC"),1,0)</f>
        <v>0</v>
      </c>
      <c r="W601" s="104" t="n">
        <f aca="false">IF(AND($F601="Analogy",OR($H601="—",$H601="")),1,0)</f>
        <v>0</v>
      </c>
      <c r="X601" s="104" t="n">
        <f aca="false">IF(AND(OR($F601="Analogy",$F601="Assumed"),$G601&lt;&gt;"低",$G601&lt;&gt;"高",NOT(ISNUMBER($K601)),NOT(ISNUMBER($L601)),OR($M601="—",$M601="")),1,0)</f>
        <v>0</v>
      </c>
      <c r="Y601" s="104" t="n">
        <f aca="false">IF(AND(OR($F601="Analogy",$F601="Assumed",$F601="Derived（待改公式）",$F601="Derived（公式）"),OR($N601="—",$N601="",$N601=0)),1,0)</f>
        <v>0</v>
      </c>
      <c r="Z601" s="104" t="n">
        <f aca="false">IF(AND($F601="Decision",OR($J601="—",$J601="")),1,0)</f>
        <v>0</v>
      </c>
      <c r="AA601" s="82" t="n">
        <f aca="false">IF(OR($J601="—",$J601=""),0,IF(COUNTIF(Decisions!$A$5:$A$300,$J601)=0,1,0))</f>
        <v>0</v>
      </c>
      <c r="AB601" s="104" t="n">
        <f aca="false">IF(AND($F601="原始數據",$S601&lt;&gt;"Active"),1,0)</f>
        <v>0</v>
      </c>
      <c r="AC601" s="104" t="n">
        <f aca="false">IF(AND(ISNUMBER($K601),ISNUMBER($L601),ISNUMBER($Q601)),IF(OR($Q601&lt;MIN($K601,$L601),$Q601&gt;MAX($K601,$L601)),1,0),0)</f>
        <v>0</v>
      </c>
      <c r="AD601" s="104" t="n">
        <f aca="false">IF(AND(ISNUMBER($T601),$P601="高"),IF($T601=3,1,0),0)</f>
        <v>0</v>
      </c>
      <c r="AE601" s="104" t="n">
        <f aca="false">IF($S601="不存在",1,0)</f>
        <v>0</v>
      </c>
      <c r="AF601" s="53" t="str">
        <f aca="false">IF(OR($H601="—",$H601=""),"—",MATCH($H601,IDX_SrcID,0))</f>
        <v>—</v>
      </c>
      <c r="AG601" s="104" t="n">
        <f aca="false">IF(AND($P601="高",OR($AD601=1,$X601=1)),1,0)</f>
        <v>0</v>
      </c>
      <c r="AH601" s="104" t="n">
        <f aca="false">IF(AND($P601="高",$AG601=0,OR($F601&lt;&gt;"原始數據",$T601&lt;&gt;1)),1,0)</f>
        <v>0</v>
      </c>
      <c r="AI601" s="53" t="str">
        <f aca="false">IF(AND($P601="高",ISNUMBER($AF601)),INDEX(IDX_SrcDate,$AF601),"—")</f>
        <v>—</v>
      </c>
      <c r="AJ601" s="104" t="n">
        <f aca="false">IF(AND(ISTEXT($AI601),LEN($AI601)=10),IF(ISNUMBER(VALUE(SUBSTITUTE($AI601,"-",""))),VALUE(SUBSTITUTE($AI601,"-","")),0),0)</f>
        <v>0</v>
      </c>
    </row>
    <row r="602" customFormat="false" ht="72.35" hidden="false" customHeight="false" outlineLevel="0" collapsed="false">
      <c r="A602" s="54" t="s">
        <v>4840</v>
      </c>
      <c r="B602" s="53" t="s">
        <v>4832</v>
      </c>
      <c r="C602" s="54" t="s">
        <v>4748</v>
      </c>
      <c r="D602" s="54" t="s">
        <v>3469</v>
      </c>
      <c r="E602" s="5" t="s">
        <v>1735</v>
      </c>
      <c r="F602" s="54" t="s">
        <v>80</v>
      </c>
      <c r="G602" s="53" t="s">
        <v>65</v>
      </c>
      <c r="H602" s="54" t="s">
        <v>587</v>
      </c>
      <c r="I602" s="6" t="s">
        <v>587</v>
      </c>
      <c r="J602" s="54" t="s">
        <v>4833</v>
      </c>
      <c r="K602" s="90" t="n">
        <f aca="false">Alloc_In!D24</f>
        <v>0.3</v>
      </c>
      <c r="L602" s="90" t="n">
        <f aca="false">Alloc_In!E24</f>
        <v>0.4</v>
      </c>
      <c r="M602" s="54" t="s">
        <v>4841</v>
      </c>
      <c r="N602" s="6" t="s">
        <v>4842</v>
      </c>
      <c r="O602" s="6" t="s">
        <v>587</v>
      </c>
      <c r="P602" s="53" t="s">
        <v>3244</v>
      </c>
      <c r="Q602" s="90" t="n">
        <f aca="false">Alloc_In!C24</f>
        <v>0.35</v>
      </c>
      <c r="R602" s="54" t="s">
        <v>587</v>
      </c>
      <c r="S602" s="53" t="str">
        <f aca="false">IF(ISNUMBER($AF602),INDEX(IDX_SrcStat,$AF602),"—")</f>
        <v>—</v>
      </c>
      <c r="T602" s="53" t="str">
        <f aca="false">IF(ISNUMBER($AF602),INDEX(IDX_SrcGrade,$AF602),"—")</f>
        <v>—</v>
      </c>
      <c r="U602" s="53" t="s">
        <v>3189</v>
      </c>
      <c r="V602" s="104" t="n">
        <f aca="false">IF(AND($F602="原始數據",$U602&lt;&gt;"連結 SRC"),1,0)</f>
        <v>0</v>
      </c>
      <c r="W602" s="104" t="n">
        <f aca="false">IF(AND($F602="Analogy",OR($H602="—",$H602="")),1,0)</f>
        <v>0</v>
      </c>
      <c r="X602" s="104" t="n">
        <f aca="false">IF(AND(OR($F602="Analogy",$F602="Assumed"),$G602&lt;&gt;"低",$G602&lt;&gt;"高",NOT(ISNUMBER($K602)),NOT(ISNUMBER($L602)),OR($M602="—",$M602="")),1,0)</f>
        <v>0</v>
      </c>
      <c r="Y602" s="104" t="n">
        <f aca="false">IF(AND(OR($F602="Analogy",$F602="Assumed",$F602="Derived（待改公式）",$F602="Derived（公式）"),OR($N602="—",$N602="",$N602=0)),1,0)</f>
        <v>0</v>
      </c>
      <c r="Z602" s="104" t="n">
        <f aca="false">IF(AND($F602="Decision",OR($J602="—",$J602="")),1,0)</f>
        <v>0</v>
      </c>
      <c r="AA602" s="82" t="n">
        <f aca="false">IF(OR($J602="—",$J602=""),0,IF(COUNTIF(Decisions!$A$5:$A$300,$J602)=0,1,0))</f>
        <v>0</v>
      </c>
      <c r="AB602" s="104" t="n">
        <f aca="false">IF(AND($F602="原始數據",$S602&lt;&gt;"Active"),1,0)</f>
        <v>0</v>
      </c>
      <c r="AC602" s="104" t="n">
        <f aca="false">IF(AND(ISNUMBER($K602),ISNUMBER($L602),ISNUMBER($Q602)),IF(OR($Q602&lt;MIN($K602,$L602),$Q602&gt;MAX($K602,$L602)),1,0),0)</f>
        <v>0</v>
      </c>
      <c r="AD602" s="104" t="n">
        <f aca="false">IF(AND(ISNUMBER($T602),$P602="高"),IF($T602=3,1,0),0)</f>
        <v>0</v>
      </c>
      <c r="AE602" s="104" t="n">
        <f aca="false">IF($S602="不存在",1,0)</f>
        <v>0</v>
      </c>
      <c r="AF602" s="53" t="str">
        <f aca="false">IF(OR($H602="—",$H602=""),"—",MATCH($H602,IDX_SrcID,0))</f>
        <v>—</v>
      </c>
      <c r="AG602" s="104" t="n">
        <f aca="false">IF(AND($P602="高",OR($AD602=1,$X602=1)),1,0)</f>
        <v>0</v>
      </c>
      <c r="AH602" s="104" t="n">
        <f aca="false">IF(AND($P602="高",$AG602=0,OR($F602&lt;&gt;"原始數據",$T602&lt;&gt;1)),1,0)</f>
        <v>0</v>
      </c>
      <c r="AI602" s="53" t="str">
        <f aca="false">IF(AND($P602="高",ISNUMBER($AF602)),INDEX(IDX_SrcDate,$AF602),"—")</f>
        <v>—</v>
      </c>
      <c r="AJ602" s="104" t="n">
        <f aca="false">IF(AND(ISTEXT($AI602),LEN($AI602)=10),IF(ISNUMBER(VALUE(SUBSTITUTE($AI602,"-",""))),VALUE(SUBSTITUTE($AI602,"-","")),0),0)</f>
        <v>0</v>
      </c>
    </row>
    <row r="603" customFormat="false" ht="55.2" hidden="false" customHeight="false" outlineLevel="0" collapsed="false">
      <c r="A603" s="54" t="s">
        <v>4843</v>
      </c>
      <c r="B603" s="53" t="s">
        <v>4832</v>
      </c>
      <c r="C603" s="54" t="s">
        <v>4748</v>
      </c>
      <c r="D603" s="54" t="s">
        <v>4844</v>
      </c>
      <c r="E603" s="5" t="s">
        <v>1735</v>
      </c>
      <c r="F603" s="54" t="s">
        <v>80</v>
      </c>
      <c r="G603" s="53" t="s">
        <v>4250</v>
      </c>
      <c r="H603" s="54" t="s">
        <v>587</v>
      </c>
      <c r="I603" s="6" t="s">
        <v>587</v>
      </c>
      <c r="J603" s="54" t="s">
        <v>4833</v>
      </c>
      <c r="K603" s="53"/>
      <c r="L603" s="53"/>
      <c r="M603" s="54" t="s">
        <v>4845</v>
      </c>
      <c r="N603" s="6" t="s">
        <v>4846</v>
      </c>
      <c r="O603" s="6" t="s">
        <v>587</v>
      </c>
      <c r="P603" s="54" t="s">
        <v>587</v>
      </c>
      <c r="Q603" s="85" t="s">
        <v>587</v>
      </c>
      <c r="R603" s="54" t="s">
        <v>587</v>
      </c>
      <c r="S603" s="53" t="str">
        <f aca="false">IF(ISNUMBER($AF603),INDEX(IDX_SrcStat,$AF603),"—")</f>
        <v>—</v>
      </c>
      <c r="T603" s="53" t="str">
        <f aca="false">IF(ISNUMBER($AF603),INDEX(IDX_SrcGrade,$AF603),"—")</f>
        <v>—</v>
      </c>
      <c r="U603" s="54" t="s">
        <v>587</v>
      </c>
      <c r="V603" s="104" t="n">
        <f aca="false">IF(AND($F603="原始數據",$U603&lt;&gt;"連結 SRC"),1,0)</f>
        <v>0</v>
      </c>
      <c r="W603" s="104" t="n">
        <f aca="false">IF(AND($F603="Analogy",OR($H603="—",$H603="")),1,0)</f>
        <v>0</v>
      </c>
      <c r="X603" s="104" t="n">
        <f aca="false">IF(AND(OR($F603="Analogy",$F603="Assumed"),$G603&lt;&gt;"低",$G603&lt;&gt;"高",NOT(ISNUMBER($K603)),NOT(ISNUMBER($L603)),OR($M603="—",$M603="")),1,0)</f>
        <v>0</v>
      </c>
      <c r="Y603" s="104" t="n">
        <f aca="false">IF(AND(OR($F603="Analogy",$F603="Assumed",$F603="Derived（待改公式）",$F603="Derived（公式）"),OR($N603="—",$N603="",$N603=0)),1,0)</f>
        <v>0</v>
      </c>
      <c r="Z603" s="104" t="n">
        <f aca="false">IF(AND($F603="Decision",OR($J603="—",$J603="")),1,0)</f>
        <v>0</v>
      </c>
      <c r="AA603" s="82" t="n">
        <f aca="false">IF(OR($J603="—",$J603=""),0,IF(COUNTIF(Decisions!$A$5:$A$300,$J603)=0,1,0))</f>
        <v>0</v>
      </c>
      <c r="AB603" s="104" t="n">
        <f aca="false">IF(AND($F603="原始數據",$S603&lt;&gt;"Active"),1,0)</f>
        <v>0</v>
      </c>
      <c r="AC603" s="104" t="n">
        <f aca="false">IF(AND(ISNUMBER($K603),ISNUMBER($L603),ISNUMBER($Q603)),IF(OR($Q603&lt;MIN($K603,$L603),$Q603&gt;MAX($K603,$L603)),1,0),0)</f>
        <v>0</v>
      </c>
      <c r="AD603" s="104" t="n">
        <f aca="false">IF(AND(ISNUMBER($T603),$P603="高"),IF($T603=3,1,0),0)</f>
        <v>0</v>
      </c>
      <c r="AE603" s="104" t="n">
        <f aca="false">IF($S603="不存在",1,0)</f>
        <v>0</v>
      </c>
      <c r="AF603" s="53" t="str">
        <f aca="false">IF(OR($H603="—",$H603=""),"—",MATCH($H603,IDX_SrcID,0))</f>
        <v>—</v>
      </c>
      <c r="AG603" s="104" t="n">
        <f aca="false">IF(AND($P603="高",OR($AD603=1,$X603=1)),1,0)</f>
        <v>0</v>
      </c>
      <c r="AH603" s="104" t="n">
        <f aca="false">IF(AND($P603="高",$AG603=0,OR($F603&lt;&gt;"原始數據",$T603&lt;&gt;1)),1,0)</f>
        <v>0</v>
      </c>
      <c r="AI603" s="53" t="str">
        <f aca="false">IF(AND($P603="高",ISNUMBER($AF603)),INDEX(IDX_SrcDate,$AF603),"—")</f>
        <v>—</v>
      </c>
      <c r="AJ603" s="104" t="n">
        <f aca="false">IF(AND(ISTEXT($AI603),LEN($AI603)=10),IF(ISNUMBER(VALUE(SUBSTITUTE($AI603,"-",""))),VALUE(SUBSTITUTE($AI603,"-","")),0),0)</f>
        <v>0</v>
      </c>
    </row>
    <row r="604" customFormat="false" ht="44" hidden="false" customHeight="false" outlineLevel="0" collapsed="false">
      <c r="A604" s="54" t="s">
        <v>4847</v>
      </c>
      <c r="B604" s="53" t="s">
        <v>4832</v>
      </c>
      <c r="C604" s="54" t="s">
        <v>4748</v>
      </c>
      <c r="D604" s="54" t="s">
        <v>3485</v>
      </c>
      <c r="E604" s="5" t="s">
        <v>1737</v>
      </c>
      <c r="F604" s="54" t="s">
        <v>72</v>
      </c>
      <c r="G604" s="53" t="s">
        <v>3185</v>
      </c>
      <c r="H604" s="54" t="s">
        <v>587</v>
      </c>
      <c r="I604" s="6" t="s">
        <v>587</v>
      </c>
      <c r="J604" s="54" t="s">
        <v>4833</v>
      </c>
      <c r="K604" s="53"/>
      <c r="L604" s="53"/>
      <c r="M604" s="53" t="s">
        <v>4848</v>
      </c>
      <c r="N604" s="6" t="s">
        <v>4849</v>
      </c>
      <c r="O604" s="6" t="s">
        <v>587</v>
      </c>
      <c r="P604" s="53" t="s">
        <v>3188</v>
      </c>
      <c r="Q604" s="55" t="n">
        <f aca="false">Alloc_In!C25</f>
        <v>2000</v>
      </c>
      <c r="R604" s="54" t="s">
        <v>587</v>
      </c>
      <c r="S604" s="53" t="str">
        <f aca="false">IF(ISNUMBER($AF604),INDEX(IDX_SrcStat,$AF604),"—")</f>
        <v>—</v>
      </c>
      <c r="T604" s="53" t="str">
        <f aca="false">IF(ISNUMBER($AF604),INDEX(IDX_SrcGrade,$AF604),"—")</f>
        <v>—</v>
      </c>
      <c r="U604" s="53" t="s">
        <v>3189</v>
      </c>
      <c r="V604" s="104" t="n">
        <f aca="false">IF(AND($F604="原始數據",$U604&lt;&gt;"連結 SRC"),1,0)</f>
        <v>0</v>
      </c>
      <c r="W604" s="104" t="n">
        <f aca="false">IF(AND($F604="Analogy",OR($H604="—",$H604="")),1,0)</f>
        <v>0</v>
      </c>
      <c r="X604" s="104" t="n">
        <f aca="false">IF(AND(OR($F604="Analogy",$F604="Assumed"),$G604&lt;&gt;"低",$G604&lt;&gt;"高",NOT(ISNUMBER($K604)),NOT(ISNUMBER($L604)),OR($M604="—",$M604="")),1,0)</f>
        <v>0</v>
      </c>
      <c r="Y604" s="104" t="n">
        <f aca="false">IF(AND(OR($F604="Analogy",$F604="Assumed",$F604="Derived（待改公式）",$F604="Derived（公式）"),OR($N604="—",$N604="",$N604=0)),1,0)</f>
        <v>0</v>
      </c>
      <c r="Z604" s="104" t="n">
        <f aca="false">IF(AND($F604="Decision",OR($J604="—",$J604="")),1,0)</f>
        <v>0</v>
      </c>
      <c r="AA604" s="82" t="n">
        <f aca="false">IF(OR($J604="—",$J604=""),0,IF(COUNTIF(Decisions!$A$5:$A$300,$J604)=0,1,0))</f>
        <v>0</v>
      </c>
      <c r="AB604" s="104" t="n">
        <f aca="false">IF(AND($F604="原始數據",$S604&lt;&gt;"Active"),1,0)</f>
        <v>0</v>
      </c>
      <c r="AC604" s="104" t="n">
        <f aca="false">IF(AND(ISNUMBER($K604),ISNUMBER($L604),ISNUMBER($Q604)),IF(OR($Q604&lt;MIN($K604,$L604),$Q604&gt;MAX($K604,$L604)),1,0),0)</f>
        <v>0</v>
      </c>
      <c r="AD604" s="104" t="n">
        <f aca="false">IF(AND(ISNUMBER($T604),$P604="高"),IF($T604=3,1,0),0)</f>
        <v>0</v>
      </c>
      <c r="AE604" s="104" t="n">
        <f aca="false">IF($S604="不存在",1,0)</f>
        <v>0</v>
      </c>
      <c r="AF604" s="53" t="str">
        <f aca="false">IF(OR($H604="—",$H604=""),"—",MATCH($H604,IDX_SrcID,0))</f>
        <v>—</v>
      </c>
      <c r="AG604" s="104" t="n">
        <f aca="false">IF(AND($P604="高",OR($AD604=1,$X604=1)),1,0)</f>
        <v>0</v>
      </c>
      <c r="AH604" s="104" t="n">
        <f aca="false">IF(AND($P604="高",$AG604=0,OR($F604&lt;&gt;"原始數據",$T604&lt;&gt;1)),1,0)</f>
        <v>0</v>
      </c>
      <c r="AI604" s="53" t="str">
        <f aca="false">IF(AND($P604="高",ISNUMBER($AF604)),INDEX(IDX_SrcDate,$AF604),"—")</f>
        <v>—</v>
      </c>
      <c r="AJ604" s="104" t="n">
        <f aca="false">IF(AND(ISTEXT($AI604),LEN($AI604)=10),IF(ISNUMBER(VALUE(SUBSTITUTE($AI604,"-",""))),VALUE(SUBSTITUTE($AI604,"-","")),0),0)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13" t="s">
        <v>4850</v>
      </c>
    </row>
    <row r="2" customFormat="false" ht="15" hidden="false" customHeight="true" outlineLevel="0" collapsed="false">
      <c r="A2" s="37" t="s">
        <v>4851</v>
      </c>
    </row>
    <row r="4" customFormat="false" ht="29.25" hidden="false" customHeight="true" outlineLevel="0" collapsed="false">
      <c r="A4" s="214" t="s">
        <v>3159</v>
      </c>
      <c r="B4" s="214" t="s">
        <v>2714</v>
      </c>
      <c r="C4" s="214" t="s">
        <v>336</v>
      </c>
      <c r="D4" s="214" t="s">
        <v>4852</v>
      </c>
      <c r="E4" s="214" t="s">
        <v>4853</v>
      </c>
      <c r="F4" s="77" t="s">
        <v>4854</v>
      </c>
      <c r="G4" s="214" t="s">
        <v>574</v>
      </c>
      <c r="H4" s="214" t="s">
        <v>4855</v>
      </c>
      <c r="I4" s="214" t="s">
        <v>4856</v>
      </c>
      <c r="J4" s="214" t="s">
        <v>4857</v>
      </c>
    </row>
    <row r="5" customFormat="false" ht="29.25" hidden="false" customHeight="true" outlineLevel="0" collapsed="false">
      <c r="A5" s="36" t="s">
        <v>3186</v>
      </c>
      <c r="B5" s="36" t="s">
        <v>4858</v>
      </c>
      <c r="C5" s="19" t="s">
        <v>6</v>
      </c>
      <c r="D5" s="6" t="s">
        <v>4859</v>
      </c>
      <c r="E5" s="36" t="s">
        <v>4860</v>
      </c>
      <c r="F5" s="6" t="s">
        <v>587</v>
      </c>
      <c r="G5" s="215" t="s">
        <v>4861</v>
      </c>
      <c r="H5" s="6" t="s">
        <v>4862</v>
      </c>
      <c r="I5" s="215" t="s">
        <v>4863</v>
      </c>
      <c r="J5" s="215" t="s">
        <v>618</v>
      </c>
    </row>
    <row r="6" customFormat="false" ht="29.25" hidden="false" customHeight="true" outlineLevel="0" collapsed="false">
      <c r="A6" s="36" t="s">
        <v>4864</v>
      </c>
      <c r="B6" s="36" t="s">
        <v>4858</v>
      </c>
      <c r="C6" s="19" t="s">
        <v>144</v>
      </c>
      <c r="D6" s="6" t="s">
        <v>4865</v>
      </c>
      <c r="E6" s="36" t="s">
        <v>4860</v>
      </c>
      <c r="F6" s="6" t="s">
        <v>587</v>
      </c>
      <c r="G6" s="215" t="s">
        <v>4861</v>
      </c>
      <c r="H6" s="6" t="s">
        <v>587</v>
      </c>
      <c r="I6" s="215" t="s">
        <v>4863</v>
      </c>
      <c r="J6" s="215" t="s">
        <v>618</v>
      </c>
    </row>
    <row r="7" customFormat="false" ht="29.25" hidden="false" customHeight="true" outlineLevel="0" collapsed="false">
      <c r="A7" s="36" t="s">
        <v>3191</v>
      </c>
      <c r="B7" s="36" t="s">
        <v>4858</v>
      </c>
      <c r="C7" s="6" t="s">
        <v>4866</v>
      </c>
      <c r="D7" s="19" t="s">
        <v>4867</v>
      </c>
      <c r="E7" s="36" t="s">
        <v>4860</v>
      </c>
      <c r="F7" s="6" t="s">
        <v>587</v>
      </c>
      <c r="G7" s="215" t="s">
        <v>4861</v>
      </c>
      <c r="H7" s="6" t="s">
        <v>4868</v>
      </c>
      <c r="I7" s="215" t="s">
        <v>4863</v>
      </c>
      <c r="J7" s="215" t="s">
        <v>618</v>
      </c>
    </row>
    <row r="8" customFormat="false" ht="29.25" hidden="false" customHeight="true" outlineLevel="0" collapsed="false">
      <c r="A8" s="36" t="s">
        <v>3317</v>
      </c>
      <c r="B8" s="36" t="s">
        <v>4858</v>
      </c>
      <c r="C8" s="19" t="s">
        <v>4869</v>
      </c>
      <c r="D8" s="19" t="s">
        <v>4870</v>
      </c>
      <c r="E8" s="36" t="s">
        <v>4860</v>
      </c>
      <c r="F8" s="6" t="s">
        <v>587</v>
      </c>
      <c r="G8" s="215" t="s">
        <v>4861</v>
      </c>
      <c r="H8" s="6" t="s">
        <v>4871</v>
      </c>
      <c r="I8" s="215" t="s">
        <v>4863</v>
      </c>
      <c r="J8" s="215" t="s">
        <v>618</v>
      </c>
    </row>
    <row r="9" customFormat="false" ht="15" hidden="false" customHeight="true" outlineLevel="0" collapsed="false">
      <c r="A9" s="36" t="s">
        <v>3840</v>
      </c>
      <c r="B9" s="36" t="s">
        <v>4858</v>
      </c>
      <c r="C9" s="19" t="s">
        <v>230</v>
      </c>
      <c r="D9" s="19" t="s">
        <v>4872</v>
      </c>
      <c r="E9" s="36" t="s">
        <v>4860</v>
      </c>
      <c r="F9" s="6" t="s">
        <v>587</v>
      </c>
      <c r="G9" s="215" t="s">
        <v>4861</v>
      </c>
      <c r="H9" s="6" t="s">
        <v>587</v>
      </c>
      <c r="I9" s="215" t="s">
        <v>4863</v>
      </c>
      <c r="J9" s="215" t="s">
        <v>618</v>
      </c>
    </row>
    <row r="10" customFormat="false" ht="15" hidden="false" customHeight="true" outlineLevel="0" collapsed="false">
      <c r="A10" s="36" t="s">
        <v>3346</v>
      </c>
      <c r="B10" s="36" t="s">
        <v>4858</v>
      </c>
      <c r="C10" s="19" t="s">
        <v>4873</v>
      </c>
      <c r="D10" s="6" t="s">
        <v>4874</v>
      </c>
      <c r="E10" s="36" t="s">
        <v>4860</v>
      </c>
      <c r="F10" s="6" t="s">
        <v>587</v>
      </c>
      <c r="G10" s="215" t="s">
        <v>4861</v>
      </c>
      <c r="H10" s="6" t="s">
        <v>587</v>
      </c>
      <c r="I10" s="215" t="s">
        <v>4863</v>
      </c>
      <c r="J10" s="215" t="s">
        <v>618</v>
      </c>
    </row>
    <row r="11" customFormat="false" ht="15" hidden="false" customHeight="true" outlineLevel="0" collapsed="false">
      <c r="A11" s="36" t="s">
        <v>3669</v>
      </c>
      <c r="B11" s="36" t="s">
        <v>4858</v>
      </c>
      <c r="C11" s="19" t="s">
        <v>4875</v>
      </c>
      <c r="D11" s="6" t="s">
        <v>4876</v>
      </c>
      <c r="E11" s="36" t="s">
        <v>4860</v>
      </c>
      <c r="F11" s="6" t="s">
        <v>587</v>
      </c>
      <c r="G11" s="215" t="s">
        <v>4861</v>
      </c>
      <c r="H11" s="6" t="s">
        <v>587</v>
      </c>
      <c r="I11" s="215" t="s">
        <v>4863</v>
      </c>
      <c r="J11" s="215" t="s">
        <v>618</v>
      </c>
    </row>
    <row r="12" customFormat="false" ht="26.25" hidden="false" customHeight="true" outlineLevel="0" collapsed="false">
      <c r="A12" s="36" t="s">
        <v>3358</v>
      </c>
      <c r="B12" s="36" t="s">
        <v>4858</v>
      </c>
      <c r="C12" s="19" t="s">
        <v>4877</v>
      </c>
      <c r="D12" s="6" t="s">
        <v>4878</v>
      </c>
      <c r="E12" s="36" t="s">
        <v>4860</v>
      </c>
      <c r="F12" s="6" t="s">
        <v>587</v>
      </c>
      <c r="G12" s="215" t="s">
        <v>4861</v>
      </c>
      <c r="H12" s="6" t="s">
        <v>587</v>
      </c>
      <c r="I12" s="215" t="s">
        <v>4863</v>
      </c>
      <c r="J12" s="215" t="s">
        <v>618</v>
      </c>
    </row>
    <row r="13" customFormat="false" ht="15" hidden="false" customHeight="true" outlineLevel="0" collapsed="false">
      <c r="A13" s="36" t="s">
        <v>3198</v>
      </c>
      <c r="B13" s="36" t="s">
        <v>4858</v>
      </c>
      <c r="C13" s="19" t="s">
        <v>4879</v>
      </c>
      <c r="D13" s="19" t="s">
        <v>4880</v>
      </c>
      <c r="E13" s="36" t="s">
        <v>4860</v>
      </c>
      <c r="F13" s="6" t="s">
        <v>587</v>
      </c>
      <c r="G13" s="215" t="s">
        <v>4861</v>
      </c>
      <c r="H13" s="6" t="s">
        <v>587</v>
      </c>
      <c r="I13" s="215" t="s">
        <v>4863</v>
      </c>
      <c r="J13" s="215" t="s">
        <v>618</v>
      </c>
    </row>
    <row r="14" customFormat="false" ht="15" hidden="false" customHeight="true" outlineLevel="0" collapsed="false">
      <c r="A14" s="36" t="s">
        <v>3203</v>
      </c>
      <c r="B14" s="36" t="s">
        <v>4858</v>
      </c>
      <c r="C14" s="6" t="s">
        <v>870</v>
      </c>
      <c r="D14" s="19" t="s">
        <v>4881</v>
      </c>
      <c r="E14" s="36" t="s">
        <v>4860</v>
      </c>
      <c r="F14" s="6" t="s">
        <v>587</v>
      </c>
      <c r="G14" s="215" t="s">
        <v>4861</v>
      </c>
      <c r="H14" s="6" t="s">
        <v>4882</v>
      </c>
      <c r="I14" s="215" t="s">
        <v>4863</v>
      </c>
      <c r="J14" s="215" t="s">
        <v>618</v>
      </c>
    </row>
    <row r="15" customFormat="false" ht="29.25" hidden="false" customHeight="true" outlineLevel="0" collapsed="false">
      <c r="A15" s="36" t="s">
        <v>3210</v>
      </c>
      <c r="B15" s="36" t="s">
        <v>4858</v>
      </c>
      <c r="C15" s="19" t="s">
        <v>4883</v>
      </c>
      <c r="D15" s="6" t="s">
        <v>4884</v>
      </c>
      <c r="E15" s="36" t="s">
        <v>4860</v>
      </c>
      <c r="F15" s="6" t="s">
        <v>587</v>
      </c>
      <c r="G15" s="215" t="s">
        <v>4861</v>
      </c>
      <c r="H15" s="6" t="s">
        <v>587</v>
      </c>
      <c r="I15" s="215" t="s">
        <v>4863</v>
      </c>
      <c r="J15" s="215" t="s">
        <v>618</v>
      </c>
    </row>
    <row r="16" customFormat="false" ht="15" hidden="false" customHeight="true" outlineLevel="0" collapsed="false">
      <c r="A16" s="36" t="s">
        <v>3755</v>
      </c>
      <c r="B16" s="36" t="s">
        <v>4885</v>
      </c>
      <c r="C16" s="6" t="s">
        <v>4886</v>
      </c>
      <c r="D16" s="19" t="s">
        <v>4887</v>
      </c>
      <c r="E16" s="36" t="s">
        <v>4860</v>
      </c>
      <c r="F16" s="6" t="s">
        <v>587</v>
      </c>
      <c r="G16" s="215" t="s">
        <v>4861</v>
      </c>
      <c r="H16" s="6" t="s">
        <v>4888</v>
      </c>
      <c r="I16" s="215" t="s">
        <v>4863</v>
      </c>
      <c r="J16" s="215" t="s">
        <v>618</v>
      </c>
    </row>
    <row r="17" customFormat="false" ht="15" hidden="false" customHeight="true" outlineLevel="0" collapsed="false">
      <c r="A17" s="36" t="s">
        <v>3803</v>
      </c>
      <c r="B17" s="36" t="s">
        <v>4885</v>
      </c>
      <c r="C17" s="6" t="s">
        <v>4889</v>
      </c>
      <c r="D17" s="19" t="s">
        <v>4890</v>
      </c>
      <c r="E17" s="36" t="s">
        <v>4860</v>
      </c>
      <c r="F17" s="6" t="s">
        <v>587</v>
      </c>
      <c r="G17" s="215" t="s">
        <v>4861</v>
      </c>
      <c r="H17" s="6" t="s">
        <v>4891</v>
      </c>
      <c r="I17" s="215" t="s">
        <v>4863</v>
      </c>
      <c r="J17" s="215" t="s">
        <v>618</v>
      </c>
    </row>
    <row r="18" customFormat="false" ht="29.25" hidden="false" customHeight="true" outlineLevel="0" collapsed="false">
      <c r="A18" s="36" t="s">
        <v>3807</v>
      </c>
      <c r="B18" s="36" t="s">
        <v>4885</v>
      </c>
      <c r="C18" s="6" t="s">
        <v>4892</v>
      </c>
      <c r="D18" s="19" t="s">
        <v>4893</v>
      </c>
      <c r="E18" s="36" t="s">
        <v>4860</v>
      </c>
      <c r="F18" s="6" t="s">
        <v>587</v>
      </c>
      <c r="G18" s="215" t="s">
        <v>4861</v>
      </c>
      <c r="H18" s="6" t="s">
        <v>4894</v>
      </c>
      <c r="I18" s="215" t="s">
        <v>4863</v>
      </c>
      <c r="J18" s="215" t="s">
        <v>618</v>
      </c>
    </row>
    <row r="19" customFormat="false" ht="15" hidden="false" customHeight="true" outlineLevel="0" collapsed="false">
      <c r="A19" s="36" t="s">
        <v>4895</v>
      </c>
      <c r="B19" s="36" t="s">
        <v>4885</v>
      </c>
      <c r="C19" s="6" t="s">
        <v>4896</v>
      </c>
      <c r="D19" s="19" t="s">
        <v>4897</v>
      </c>
      <c r="E19" s="36" t="s">
        <v>4860</v>
      </c>
      <c r="F19" s="6" t="s">
        <v>587</v>
      </c>
      <c r="G19" s="215" t="s">
        <v>4861</v>
      </c>
      <c r="H19" s="6" t="s">
        <v>587</v>
      </c>
      <c r="I19" s="215" t="s">
        <v>4863</v>
      </c>
      <c r="J19" s="215" t="s">
        <v>618</v>
      </c>
    </row>
    <row r="20" customFormat="false" ht="15" hidden="false" customHeight="true" outlineLevel="0" collapsed="false">
      <c r="A20" s="36" t="s">
        <v>4898</v>
      </c>
      <c r="B20" s="36" t="s">
        <v>4885</v>
      </c>
      <c r="C20" s="19" t="s">
        <v>4899</v>
      </c>
      <c r="D20" s="19" t="s">
        <v>4900</v>
      </c>
      <c r="E20" s="36" t="s">
        <v>4860</v>
      </c>
      <c r="F20" s="6" t="s">
        <v>587</v>
      </c>
      <c r="G20" s="215" t="s">
        <v>4861</v>
      </c>
      <c r="H20" s="6" t="s">
        <v>587</v>
      </c>
      <c r="I20" s="215" t="s">
        <v>4863</v>
      </c>
      <c r="J20" s="215" t="s">
        <v>618</v>
      </c>
    </row>
    <row r="21" customFormat="false" ht="15" hidden="false" customHeight="true" outlineLevel="0" collapsed="false">
      <c r="A21" s="36" t="s">
        <v>4901</v>
      </c>
      <c r="B21" s="36" t="s">
        <v>4885</v>
      </c>
      <c r="C21" s="19" t="s">
        <v>4902</v>
      </c>
      <c r="D21" s="6" t="s">
        <v>4903</v>
      </c>
      <c r="E21" s="36" t="s">
        <v>4860</v>
      </c>
      <c r="F21" s="6" t="s">
        <v>587</v>
      </c>
      <c r="G21" s="215" t="s">
        <v>4904</v>
      </c>
      <c r="H21" s="6" t="s">
        <v>4905</v>
      </c>
      <c r="I21" s="215" t="s">
        <v>4863</v>
      </c>
      <c r="J21" s="215" t="s">
        <v>618</v>
      </c>
    </row>
    <row r="22" customFormat="false" ht="29.25" hidden="false" customHeight="true" outlineLevel="0" collapsed="false">
      <c r="A22" s="36" t="s">
        <v>4906</v>
      </c>
      <c r="B22" s="36" t="s">
        <v>4885</v>
      </c>
      <c r="C22" s="19" t="s">
        <v>4907</v>
      </c>
      <c r="D22" s="6" t="s">
        <v>4908</v>
      </c>
      <c r="E22" s="36" t="s">
        <v>4860</v>
      </c>
      <c r="F22" s="19" t="s">
        <v>4909</v>
      </c>
      <c r="G22" s="215" t="s">
        <v>4904</v>
      </c>
      <c r="H22" s="6" t="s">
        <v>4910</v>
      </c>
      <c r="I22" s="215" t="s">
        <v>4863</v>
      </c>
      <c r="J22" s="215" t="s">
        <v>618</v>
      </c>
    </row>
    <row r="23" customFormat="false" ht="29.25" hidden="false" customHeight="true" outlineLevel="0" collapsed="false">
      <c r="A23" s="36" t="s">
        <v>4911</v>
      </c>
      <c r="B23" s="215" t="s">
        <v>4912</v>
      </c>
      <c r="C23" s="19" t="s">
        <v>48</v>
      </c>
      <c r="D23" s="6" t="s">
        <v>4913</v>
      </c>
      <c r="E23" s="36" t="s">
        <v>4914</v>
      </c>
      <c r="F23" s="6" t="s">
        <v>587</v>
      </c>
      <c r="G23" s="215" t="s">
        <v>4861</v>
      </c>
      <c r="H23" s="6" t="s">
        <v>587</v>
      </c>
      <c r="I23" s="215" t="s">
        <v>4863</v>
      </c>
      <c r="J23" s="215" t="s">
        <v>618</v>
      </c>
    </row>
    <row r="24" customFormat="false" ht="15" hidden="false" customHeight="true" outlineLevel="0" collapsed="false">
      <c r="A24" s="36" t="s">
        <v>4915</v>
      </c>
      <c r="B24" s="36" t="s">
        <v>4885</v>
      </c>
      <c r="C24" s="19" t="s">
        <v>4916</v>
      </c>
      <c r="D24" s="6" t="s">
        <v>4917</v>
      </c>
      <c r="E24" s="36" t="s">
        <v>4860</v>
      </c>
      <c r="F24" s="6" t="s">
        <v>587</v>
      </c>
      <c r="G24" s="215" t="s">
        <v>4861</v>
      </c>
      <c r="H24" s="6" t="s">
        <v>587</v>
      </c>
      <c r="I24" s="215" t="s">
        <v>4863</v>
      </c>
      <c r="J24" s="215" t="s">
        <v>618</v>
      </c>
    </row>
    <row r="25" customFormat="false" ht="29.25" hidden="false" customHeight="true" outlineLevel="0" collapsed="false">
      <c r="A25" s="36" t="s">
        <v>4599</v>
      </c>
      <c r="B25" s="36" t="s">
        <v>4885</v>
      </c>
      <c r="C25" s="6" t="s">
        <v>4918</v>
      </c>
      <c r="D25" s="19" t="s">
        <v>4919</v>
      </c>
      <c r="E25" s="36" t="s">
        <v>4860</v>
      </c>
      <c r="F25" s="6" t="s">
        <v>587</v>
      </c>
      <c r="G25" s="215" t="s">
        <v>4861</v>
      </c>
      <c r="H25" s="6" t="s">
        <v>587</v>
      </c>
      <c r="I25" s="215" t="s">
        <v>4863</v>
      </c>
      <c r="J25" s="215" t="s">
        <v>618</v>
      </c>
    </row>
    <row r="26" customFormat="false" ht="43.5" hidden="false" customHeight="true" outlineLevel="0" collapsed="false">
      <c r="A26" s="36" t="s">
        <v>4629</v>
      </c>
      <c r="B26" s="36" t="s">
        <v>4885</v>
      </c>
      <c r="C26" s="6" t="s">
        <v>4920</v>
      </c>
      <c r="D26" s="19" t="s">
        <v>4921</v>
      </c>
      <c r="E26" s="36" t="s">
        <v>1201</v>
      </c>
      <c r="F26" s="6" t="s">
        <v>587</v>
      </c>
      <c r="G26" s="215" t="s">
        <v>4861</v>
      </c>
      <c r="H26" s="6" t="s">
        <v>587</v>
      </c>
      <c r="I26" s="215" t="s">
        <v>4863</v>
      </c>
      <c r="J26" s="215" t="s">
        <v>618</v>
      </c>
    </row>
    <row r="27" customFormat="false" ht="15" hidden="false" customHeight="true" outlineLevel="0" collapsed="false">
      <c r="A27" s="36" t="s">
        <v>4582</v>
      </c>
      <c r="B27" s="36" t="s">
        <v>4885</v>
      </c>
      <c r="C27" s="19" t="s">
        <v>1064</v>
      </c>
      <c r="D27" s="19" t="s">
        <v>4922</v>
      </c>
      <c r="E27" s="36" t="s">
        <v>4860</v>
      </c>
      <c r="F27" s="6" t="s">
        <v>587</v>
      </c>
      <c r="G27" s="215" t="s">
        <v>4861</v>
      </c>
      <c r="H27" s="6" t="s">
        <v>587</v>
      </c>
      <c r="I27" s="215" t="s">
        <v>4863</v>
      </c>
      <c r="J27" s="215" t="s">
        <v>618</v>
      </c>
    </row>
    <row r="28" customFormat="false" ht="15" hidden="false" customHeight="true" outlineLevel="0" collapsed="false">
      <c r="A28" s="36" t="s">
        <v>4923</v>
      </c>
      <c r="B28" s="36" t="s">
        <v>4885</v>
      </c>
      <c r="C28" s="19" t="s">
        <v>4924</v>
      </c>
      <c r="D28" s="6" t="s">
        <v>4925</v>
      </c>
      <c r="E28" s="36" t="s">
        <v>4860</v>
      </c>
      <c r="F28" s="6" t="s">
        <v>587</v>
      </c>
      <c r="G28" s="215" t="s">
        <v>4861</v>
      </c>
      <c r="H28" s="6" t="s">
        <v>587</v>
      </c>
      <c r="I28" s="215" t="s">
        <v>4863</v>
      </c>
      <c r="J28" s="215" t="s">
        <v>618</v>
      </c>
    </row>
    <row r="29" customFormat="false" ht="15" hidden="false" customHeight="true" outlineLevel="0" collapsed="false">
      <c r="A29" s="36" t="s">
        <v>4690</v>
      </c>
      <c r="B29" s="36" t="s">
        <v>4885</v>
      </c>
      <c r="C29" s="6" t="s">
        <v>4926</v>
      </c>
      <c r="D29" s="6" t="s">
        <v>4927</v>
      </c>
      <c r="E29" s="36" t="s">
        <v>4860</v>
      </c>
      <c r="F29" s="6" t="s">
        <v>587</v>
      </c>
      <c r="G29" s="215" t="s">
        <v>4861</v>
      </c>
      <c r="H29" s="6" t="s">
        <v>587</v>
      </c>
      <c r="I29" s="215" t="s">
        <v>4863</v>
      </c>
      <c r="J29" s="215" t="s">
        <v>618</v>
      </c>
    </row>
    <row r="30" customFormat="false" ht="15" hidden="false" customHeight="true" outlineLevel="0" collapsed="false">
      <c r="A30" s="36" t="s">
        <v>4589</v>
      </c>
      <c r="B30" s="36" t="s">
        <v>4885</v>
      </c>
      <c r="C30" s="19" t="s">
        <v>4928</v>
      </c>
      <c r="D30" s="6" t="s">
        <v>4929</v>
      </c>
      <c r="E30" s="36" t="s">
        <v>4914</v>
      </c>
      <c r="F30" s="6" t="s">
        <v>587</v>
      </c>
      <c r="G30" s="215" t="s">
        <v>4861</v>
      </c>
      <c r="H30" s="6" t="s">
        <v>4930</v>
      </c>
      <c r="I30" s="215" t="s">
        <v>4863</v>
      </c>
      <c r="J30" s="215" t="s">
        <v>618</v>
      </c>
    </row>
    <row r="31" customFormat="false" ht="15" hidden="false" customHeight="true" outlineLevel="0" collapsed="false">
      <c r="A31" s="36" t="s">
        <v>4217</v>
      </c>
      <c r="B31" s="36" t="s">
        <v>4885</v>
      </c>
      <c r="C31" s="19" t="s">
        <v>4931</v>
      </c>
      <c r="D31" s="19" t="s">
        <v>4932</v>
      </c>
      <c r="E31" s="36" t="s">
        <v>4860</v>
      </c>
      <c r="F31" s="6" t="s">
        <v>587</v>
      </c>
      <c r="G31" s="215" t="s">
        <v>4861</v>
      </c>
      <c r="H31" s="6" t="s">
        <v>587</v>
      </c>
      <c r="I31" s="215" t="s">
        <v>4863</v>
      </c>
      <c r="J31" s="215" t="s">
        <v>618</v>
      </c>
    </row>
    <row r="32" customFormat="false" ht="43.5" hidden="false" customHeight="true" outlineLevel="0" collapsed="false">
      <c r="A32" s="36" t="s">
        <v>4933</v>
      </c>
      <c r="B32" s="215" t="s">
        <v>4912</v>
      </c>
      <c r="C32" s="19" t="s">
        <v>4934</v>
      </c>
      <c r="D32" s="6" t="s">
        <v>4935</v>
      </c>
      <c r="E32" s="36" t="s">
        <v>4936</v>
      </c>
      <c r="F32" s="6" t="s">
        <v>587</v>
      </c>
      <c r="G32" s="215" t="s">
        <v>4861</v>
      </c>
      <c r="H32" s="6" t="s">
        <v>587</v>
      </c>
      <c r="I32" s="215" t="s">
        <v>4863</v>
      </c>
      <c r="J32" s="215" t="s">
        <v>618</v>
      </c>
    </row>
    <row r="33" customFormat="false" ht="43.5" hidden="false" customHeight="true" outlineLevel="0" collapsed="false">
      <c r="A33" s="36" t="s">
        <v>4937</v>
      </c>
      <c r="B33" s="215" t="s">
        <v>4912</v>
      </c>
      <c r="C33" s="6" t="s">
        <v>4938</v>
      </c>
      <c r="D33" s="19" t="s">
        <v>4939</v>
      </c>
      <c r="E33" s="36" t="s">
        <v>4860</v>
      </c>
      <c r="F33" s="6" t="s">
        <v>587</v>
      </c>
      <c r="G33" s="215" t="s">
        <v>4861</v>
      </c>
      <c r="H33" s="6" t="s">
        <v>587</v>
      </c>
      <c r="I33" s="215" t="s">
        <v>4863</v>
      </c>
      <c r="J33" s="215" t="s">
        <v>618</v>
      </c>
    </row>
    <row r="34" customFormat="false" ht="43.5" hidden="false" customHeight="true" outlineLevel="0" collapsed="false">
      <c r="A34" s="36" t="s">
        <v>4940</v>
      </c>
      <c r="B34" s="215" t="s">
        <v>4912</v>
      </c>
      <c r="C34" s="6" t="s">
        <v>4941</v>
      </c>
      <c r="D34" s="19" t="s">
        <v>4942</v>
      </c>
      <c r="E34" s="36" t="s">
        <v>1201</v>
      </c>
      <c r="F34" s="6" t="s">
        <v>587</v>
      </c>
      <c r="G34" s="215" t="s">
        <v>4861</v>
      </c>
      <c r="H34" s="6" t="s">
        <v>587</v>
      </c>
      <c r="I34" s="215" t="s">
        <v>4863</v>
      </c>
      <c r="J34" s="215" t="s">
        <v>618</v>
      </c>
    </row>
    <row r="35" customFormat="false" ht="43.5" hidden="false" customHeight="true" outlineLevel="0" collapsed="false">
      <c r="A35" s="36" t="s">
        <v>4943</v>
      </c>
      <c r="B35" s="215" t="s">
        <v>4912</v>
      </c>
      <c r="C35" s="19" t="s">
        <v>4944</v>
      </c>
      <c r="D35" s="6" t="s">
        <v>4945</v>
      </c>
      <c r="E35" s="36" t="s">
        <v>1201</v>
      </c>
      <c r="F35" s="6" t="s">
        <v>587</v>
      </c>
      <c r="G35" s="215" t="s">
        <v>4861</v>
      </c>
      <c r="H35" s="6" t="s">
        <v>587</v>
      </c>
      <c r="I35" s="215" t="s">
        <v>4863</v>
      </c>
      <c r="J35" s="215" t="s">
        <v>618</v>
      </c>
    </row>
    <row r="36" customFormat="false" ht="15" hidden="false" customHeight="true" outlineLevel="0" collapsed="false">
      <c r="A36" s="36" t="s">
        <v>4946</v>
      </c>
      <c r="B36" s="215" t="s">
        <v>4912</v>
      </c>
      <c r="C36" s="19" t="s">
        <v>4947</v>
      </c>
      <c r="D36" s="19" t="s">
        <v>4948</v>
      </c>
      <c r="E36" s="36" t="s">
        <v>4860</v>
      </c>
      <c r="F36" s="6" t="s">
        <v>587</v>
      </c>
      <c r="G36" s="215" t="s">
        <v>4861</v>
      </c>
      <c r="H36" s="6" t="s">
        <v>587</v>
      </c>
      <c r="I36" s="215" t="s">
        <v>4863</v>
      </c>
      <c r="J36" s="215" t="s">
        <v>618</v>
      </c>
    </row>
    <row r="37" customFormat="false" ht="15" hidden="false" customHeight="true" outlineLevel="0" collapsed="false">
      <c r="A37" s="36" t="s">
        <v>3132</v>
      </c>
      <c r="B37" s="36" t="s">
        <v>682</v>
      </c>
      <c r="C37" s="19" t="s">
        <v>4949</v>
      </c>
      <c r="D37" s="6" t="s">
        <v>4950</v>
      </c>
      <c r="E37" s="36" t="s">
        <v>1201</v>
      </c>
      <c r="F37" s="19" t="s">
        <v>4951</v>
      </c>
      <c r="G37" s="215" t="s">
        <v>4861</v>
      </c>
      <c r="H37" s="6" t="s">
        <v>587</v>
      </c>
      <c r="I37" s="215" t="s">
        <v>4863</v>
      </c>
      <c r="J37" s="215" t="s">
        <v>618</v>
      </c>
    </row>
    <row r="38" customFormat="false" ht="29.25" hidden="false" customHeight="true" outlineLevel="0" collapsed="false">
      <c r="A38" s="36" t="s">
        <v>3135</v>
      </c>
      <c r="B38" s="36" t="s">
        <v>682</v>
      </c>
      <c r="C38" s="19" t="s">
        <v>4952</v>
      </c>
      <c r="D38" s="6" t="s">
        <v>4953</v>
      </c>
      <c r="E38" s="36" t="s">
        <v>4860</v>
      </c>
      <c r="F38" s="19" t="s">
        <v>4954</v>
      </c>
      <c r="G38" s="215" t="s">
        <v>4861</v>
      </c>
      <c r="H38" s="6" t="s">
        <v>587</v>
      </c>
      <c r="I38" s="215" t="s">
        <v>4863</v>
      </c>
      <c r="J38" s="215" t="s">
        <v>618</v>
      </c>
    </row>
    <row r="39" customFormat="false" ht="29.25" hidden="false" customHeight="true" outlineLevel="0" collapsed="false">
      <c r="A39" s="36" t="s">
        <v>3138</v>
      </c>
      <c r="B39" s="36" t="s">
        <v>682</v>
      </c>
      <c r="C39" s="19" t="s">
        <v>4955</v>
      </c>
      <c r="D39" s="6" t="s">
        <v>4956</v>
      </c>
      <c r="E39" s="36" t="s">
        <v>4860</v>
      </c>
      <c r="F39" s="6" t="s">
        <v>587</v>
      </c>
      <c r="G39" s="215" t="s">
        <v>4861</v>
      </c>
      <c r="H39" s="6" t="s">
        <v>587</v>
      </c>
      <c r="I39" s="215" t="s">
        <v>4863</v>
      </c>
      <c r="J39" s="215" t="s">
        <v>618</v>
      </c>
    </row>
    <row r="40" customFormat="false" ht="43.5" hidden="false" customHeight="true" outlineLevel="0" collapsed="false">
      <c r="A40" s="36" t="s">
        <v>3141</v>
      </c>
      <c r="B40" s="36" t="s">
        <v>682</v>
      </c>
      <c r="C40" s="19" t="s">
        <v>4957</v>
      </c>
      <c r="D40" s="6" t="s">
        <v>4958</v>
      </c>
      <c r="E40" s="36" t="s">
        <v>4860</v>
      </c>
      <c r="F40" s="19" t="s">
        <v>4959</v>
      </c>
      <c r="G40" s="215" t="s">
        <v>4861</v>
      </c>
      <c r="H40" s="6" t="s">
        <v>587</v>
      </c>
      <c r="I40" s="215" t="s">
        <v>4863</v>
      </c>
      <c r="J40" s="215" t="s">
        <v>618</v>
      </c>
    </row>
    <row r="41" customFormat="false" ht="15" hidden="false" customHeight="true" outlineLevel="0" collapsed="false">
      <c r="A41" s="36" t="s">
        <v>3144</v>
      </c>
      <c r="B41" s="36" t="s">
        <v>682</v>
      </c>
      <c r="C41" s="19" t="s">
        <v>4960</v>
      </c>
      <c r="D41" s="6" t="s">
        <v>4961</v>
      </c>
      <c r="E41" s="36" t="s">
        <v>4860</v>
      </c>
      <c r="F41" s="6" t="s">
        <v>587</v>
      </c>
      <c r="G41" s="215" t="s">
        <v>4861</v>
      </c>
      <c r="H41" s="6" t="s">
        <v>587</v>
      </c>
      <c r="I41" s="215" t="s">
        <v>4863</v>
      </c>
      <c r="J41" s="215" t="s">
        <v>618</v>
      </c>
    </row>
    <row r="42" customFormat="false" ht="43.5" hidden="false" customHeight="true" outlineLevel="0" collapsed="false">
      <c r="A42" s="36" t="s">
        <v>3147</v>
      </c>
      <c r="B42" s="36" t="s">
        <v>682</v>
      </c>
      <c r="C42" s="19" t="s">
        <v>4962</v>
      </c>
      <c r="D42" s="19" t="s">
        <v>4963</v>
      </c>
      <c r="E42" s="36" t="s">
        <v>1201</v>
      </c>
      <c r="F42" s="6" t="s">
        <v>587</v>
      </c>
      <c r="G42" s="215" t="s">
        <v>4861</v>
      </c>
      <c r="H42" s="6" t="s">
        <v>4964</v>
      </c>
      <c r="I42" s="215" t="s">
        <v>4863</v>
      </c>
      <c r="J42" s="215" t="s">
        <v>618</v>
      </c>
    </row>
    <row r="43" customFormat="false" ht="29.25" hidden="false" customHeight="true" outlineLevel="0" collapsed="false">
      <c r="A43" s="36" t="s">
        <v>3150</v>
      </c>
      <c r="B43" s="36" t="s">
        <v>682</v>
      </c>
      <c r="C43" s="6" t="s">
        <v>4965</v>
      </c>
      <c r="D43" s="19" t="s">
        <v>4966</v>
      </c>
      <c r="E43" s="36" t="s">
        <v>4860</v>
      </c>
      <c r="F43" s="6" t="s">
        <v>587</v>
      </c>
      <c r="G43" s="215" t="s">
        <v>4861</v>
      </c>
      <c r="H43" s="6" t="s">
        <v>587</v>
      </c>
      <c r="I43" s="215" t="s">
        <v>4863</v>
      </c>
      <c r="J43" s="215" t="s">
        <v>618</v>
      </c>
    </row>
    <row r="44" customFormat="false" ht="15" hidden="false" customHeight="true" outlineLevel="0" collapsed="false">
      <c r="A44" s="36" t="s">
        <v>4967</v>
      </c>
      <c r="B44" s="36" t="s">
        <v>682</v>
      </c>
      <c r="C44" s="19" t="s">
        <v>4968</v>
      </c>
      <c r="D44" s="19" t="s">
        <v>4969</v>
      </c>
      <c r="E44" s="36" t="s">
        <v>4860</v>
      </c>
      <c r="F44" s="6" t="s">
        <v>587</v>
      </c>
      <c r="G44" s="215" t="s">
        <v>4861</v>
      </c>
      <c r="H44" s="6" t="s">
        <v>587</v>
      </c>
      <c r="I44" s="215" t="s">
        <v>4863</v>
      </c>
      <c r="J44" s="215" t="s">
        <v>618</v>
      </c>
    </row>
    <row r="45" customFormat="false" ht="29.25" hidden="false" customHeight="true" outlineLevel="0" collapsed="false">
      <c r="A45" s="36" t="s">
        <v>4970</v>
      </c>
      <c r="B45" s="36" t="s">
        <v>682</v>
      </c>
      <c r="C45" s="19" t="s">
        <v>4971</v>
      </c>
      <c r="D45" s="19" t="s">
        <v>4972</v>
      </c>
      <c r="E45" s="36" t="s">
        <v>4860</v>
      </c>
      <c r="F45" s="6" t="s">
        <v>587</v>
      </c>
      <c r="G45" s="215" t="s">
        <v>4861</v>
      </c>
      <c r="H45" s="6" t="s">
        <v>587</v>
      </c>
      <c r="I45" s="215" t="s">
        <v>4863</v>
      </c>
      <c r="J45" s="215" t="s">
        <v>618</v>
      </c>
    </row>
    <row r="46" customFormat="false" ht="26.25" hidden="false" customHeight="true" outlineLevel="0" collapsed="false">
      <c r="A46" s="36" t="s">
        <v>4313</v>
      </c>
      <c r="B46" s="36" t="s">
        <v>682</v>
      </c>
      <c r="C46" s="19" t="s">
        <v>4973</v>
      </c>
      <c r="D46" s="19" t="s">
        <v>4974</v>
      </c>
      <c r="E46" s="36" t="s">
        <v>4860</v>
      </c>
      <c r="F46" s="6" t="s">
        <v>587</v>
      </c>
      <c r="G46" s="215" t="s">
        <v>4861</v>
      </c>
      <c r="H46" s="6" t="s">
        <v>587</v>
      </c>
      <c r="I46" s="215" t="s">
        <v>4863</v>
      </c>
      <c r="J46" s="215" t="s">
        <v>618</v>
      </c>
    </row>
    <row r="47" customFormat="false" ht="29.25" hidden="false" customHeight="true" outlineLevel="0" collapsed="false">
      <c r="A47" s="36" t="s">
        <v>3797</v>
      </c>
      <c r="B47" s="36" t="s">
        <v>682</v>
      </c>
      <c r="C47" s="19" t="s">
        <v>4975</v>
      </c>
      <c r="D47" s="19" t="s">
        <v>4976</v>
      </c>
      <c r="E47" s="36" t="s">
        <v>4977</v>
      </c>
      <c r="F47" s="19" t="s">
        <v>4978</v>
      </c>
      <c r="G47" s="215" t="s">
        <v>4904</v>
      </c>
      <c r="H47" s="6" t="s">
        <v>4979</v>
      </c>
      <c r="I47" s="215" t="s">
        <v>4863</v>
      </c>
      <c r="J47" s="215" t="s">
        <v>618</v>
      </c>
    </row>
    <row r="48" customFormat="false" ht="15" hidden="false" customHeight="true" outlineLevel="0" collapsed="false">
      <c r="A48" s="36" t="s">
        <v>4273</v>
      </c>
      <c r="B48" s="36" t="s">
        <v>682</v>
      </c>
      <c r="C48" s="19" t="s">
        <v>4980</v>
      </c>
      <c r="D48" s="19" t="s">
        <v>4981</v>
      </c>
      <c r="E48" s="36" t="s">
        <v>4860</v>
      </c>
      <c r="F48" s="6" t="s">
        <v>587</v>
      </c>
      <c r="G48" s="215" t="s">
        <v>4861</v>
      </c>
      <c r="H48" s="6" t="s">
        <v>587</v>
      </c>
      <c r="I48" s="215" t="s">
        <v>4863</v>
      </c>
      <c r="J48" s="215" t="s">
        <v>618</v>
      </c>
    </row>
    <row r="49" customFormat="false" ht="15" hidden="false" customHeight="true" outlineLevel="0" collapsed="false">
      <c r="A49" s="36" t="s">
        <v>4362</v>
      </c>
      <c r="B49" s="36" t="s">
        <v>682</v>
      </c>
      <c r="C49" s="19" t="s">
        <v>4982</v>
      </c>
      <c r="D49" s="19" t="s">
        <v>4983</v>
      </c>
      <c r="E49" s="36" t="s">
        <v>4860</v>
      </c>
      <c r="F49" s="19" t="s">
        <v>4984</v>
      </c>
      <c r="G49" s="215" t="s">
        <v>4861</v>
      </c>
      <c r="H49" s="6" t="s">
        <v>587</v>
      </c>
      <c r="I49" s="215" t="s">
        <v>4863</v>
      </c>
      <c r="J49" s="215" t="s">
        <v>618</v>
      </c>
    </row>
    <row r="50" customFormat="false" ht="15" hidden="false" customHeight="true" outlineLevel="0" collapsed="false">
      <c r="A50" s="36" t="s">
        <v>4985</v>
      </c>
      <c r="B50" s="36" t="s">
        <v>682</v>
      </c>
      <c r="C50" s="19" t="s">
        <v>4986</v>
      </c>
      <c r="D50" s="19" t="s">
        <v>4987</v>
      </c>
      <c r="E50" s="36" t="s">
        <v>4860</v>
      </c>
      <c r="F50" s="6" t="s">
        <v>587</v>
      </c>
      <c r="G50" s="215" t="s">
        <v>4861</v>
      </c>
      <c r="H50" s="6" t="s">
        <v>587</v>
      </c>
      <c r="I50" s="215" t="s">
        <v>4863</v>
      </c>
      <c r="J50" s="215" t="s">
        <v>618</v>
      </c>
    </row>
    <row r="51" customFormat="false" ht="43.5" hidden="false" customHeight="true" outlineLevel="0" collapsed="false">
      <c r="A51" s="36" t="s">
        <v>3898</v>
      </c>
      <c r="B51" s="36" t="s">
        <v>4988</v>
      </c>
      <c r="C51" s="6" t="s">
        <v>4989</v>
      </c>
      <c r="D51" s="19" t="s">
        <v>4990</v>
      </c>
      <c r="E51" s="36" t="s">
        <v>1201</v>
      </c>
      <c r="F51" s="19" t="s">
        <v>4991</v>
      </c>
      <c r="G51" s="215" t="s">
        <v>4861</v>
      </c>
      <c r="H51" s="6" t="s">
        <v>4992</v>
      </c>
      <c r="I51" s="215" t="s">
        <v>4863</v>
      </c>
      <c r="J51" s="215" t="s">
        <v>618</v>
      </c>
    </row>
    <row r="52" customFormat="false" ht="29.25" hidden="false" customHeight="true" outlineLevel="0" collapsed="false">
      <c r="A52" s="36" t="s">
        <v>4993</v>
      </c>
      <c r="B52" s="36" t="s">
        <v>4988</v>
      </c>
      <c r="C52" s="19" t="s">
        <v>4994</v>
      </c>
      <c r="D52" s="6" t="s">
        <v>4995</v>
      </c>
      <c r="E52" s="36" t="s">
        <v>4860</v>
      </c>
      <c r="F52" s="19" t="s">
        <v>4996</v>
      </c>
      <c r="G52" s="215" t="s">
        <v>4861</v>
      </c>
      <c r="H52" s="6" t="s">
        <v>587</v>
      </c>
      <c r="I52" s="215" t="s">
        <v>4863</v>
      </c>
      <c r="J52" s="215" t="s">
        <v>618</v>
      </c>
    </row>
    <row r="53" customFormat="false" ht="29.25" hidden="false" customHeight="true" outlineLevel="0" collapsed="false">
      <c r="A53" s="36" t="s">
        <v>3902</v>
      </c>
      <c r="B53" s="36" t="s">
        <v>4988</v>
      </c>
      <c r="C53" s="19" t="s">
        <v>4997</v>
      </c>
      <c r="D53" s="19" t="s">
        <v>4998</v>
      </c>
      <c r="E53" s="36" t="s">
        <v>4860</v>
      </c>
      <c r="F53" s="19" t="s">
        <v>4999</v>
      </c>
      <c r="G53" s="215" t="s">
        <v>4861</v>
      </c>
      <c r="H53" s="6" t="s">
        <v>5000</v>
      </c>
      <c r="I53" s="215" t="s">
        <v>4863</v>
      </c>
      <c r="J53" s="215" t="s">
        <v>618</v>
      </c>
    </row>
    <row r="54" customFormat="false" ht="29.25" hidden="false" customHeight="true" outlineLevel="0" collapsed="false">
      <c r="A54" s="36" t="s">
        <v>5001</v>
      </c>
      <c r="B54" s="36" t="s">
        <v>4988</v>
      </c>
      <c r="C54" s="6" t="s">
        <v>5002</v>
      </c>
      <c r="D54" s="19" t="s">
        <v>5003</v>
      </c>
      <c r="E54" s="36" t="s">
        <v>4860</v>
      </c>
      <c r="F54" s="6" t="s">
        <v>587</v>
      </c>
      <c r="G54" s="215" t="s">
        <v>4861</v>
      </c>
      <c r="H54" s="6" t="s">
        <v>587</v>
      </c>
      <c r="I54" s="215" t="s">
        <v>4863</v>
      </c>
      <c r="J54" s="215" t="s">
        <v>618</v>
      </c>
    </row>
    <row r="55" customFormat="false" ht="15" hidden="false" customHeight="true" outlineLevel="0" collapsed="false">
      <c r="A55" s="36" t="s">
        <v>5004</v>
      </c>
      <c r="B55" s="36" t="s">
        <v>4988</v>
      </c>
      <c r="C55" s="19" t="s">
        <v>5005</v>
      </c>
      <c r="D55" s="19" t="s">
        <v>5006</v>
      </c>
      <c r="E55" s="36" t="s">
        <v>4860</v>
      </c>
      <c r="F55" s="6" t="s">
        <v>587</v>
      </c>
      <c r="G55" s="215" t="s">
        <v>4861</v>
      </c>
      <c r="H55" s="6" t="s">
        <v>587</v>
      </c>
      <c r="I55" s="215" t="s">
        <v>4863</v>
      </c>
      <c r="J55" s="215" t="s">
        <v>618</v>
      </c>
    </row>
    <row r="56" customFormat="false" ht="15" hidden="false" customHeight="true" outlineLevel="0" collapsed="false">
      <c r="A56" s="36" t="s">
        <v>5007</v>
      </c>
      <c r="B56" s="36" t="s">
        <v>4988</v>
      </c>
      <c r="C56" s="19" t="s">
        <v>5008</v>
      </c>
      <c r="D56" s="19" t="s">
        <v>5009</v>
      </c>
      <c r="E56" s="36" t="s">
        <v>4860</v>
      </c>
      <c r="F56" s="6" t="s">
        <v>587</v>
      </c>
      <c r="G56" s="215" t="s">
        <v>4861</v>
      </c>
      <c r="H56" s="6" t="s">
        <v>587</v>
      </c>
      <c r="I56" s="215" t="s">
        <v>4863</v>
      </c>
      <c r="J56" s="215" t="s">
        <v>618</v>
      </c>
    </row>
    <row r="57" customFormat="false" ht="29.25" hidden="false" customHeight="true" outlineLevel="0" collapsed="false">
      <c r="A57" s="36" t="s">
        <v>5010</v>
      </c>
      <c r="B57" s="36" t="s">
        <v>4988</v>
      </c>
      <c r="C57" s="6" t="s">
        <v>5011</v>
      </c>
      <c r="D57" s="19" t="s">
        <v>5012</v>
      </c>
      <c r="E57" s="36" t="s">
        <v>4860</v>
      </c>
      <c r="F57" s="6" t="s">
        <v>587</v>
      </c>
      <c r="G57" s="215" t="s">
        <v>4861</v>
      </c>
      <c r="H57" s="6" t="s">
        <v>587</v>
      </c>
      <c r="I57" s="215" t="s">
        <v>4863</v>
      </c>
      <c r="J57" s="215" t="s">
        <v>618</v>
      </c>
    </row>
    <row r="58" customFormat="false" ht="29.25" hidden="false" customHeight="true" outlineLevel="0" collapsed="false">
      <c r="A58" s="36" t="s">
        <v>5013</v>
      </c>
      <c r="B58" s="36" t="s">
        <v>4988</v>
      </c>
      <c r="C58" s="19" t="s">
        <v>5014</v>
      </c>
      <c r="D58" s="6" t="s">
        <v>5015</v>
      </c>
      <c r="E58" s="36" t="s">
        <v>1201</v>
      </c>
      <c r="F58" s="6" t="s">
        <v>587</v>
      </c>
      <c r="G58" s="215" t="s">
        <v>4861</v>
      </c>
      <c r="H58" s="6" t="s">
        <v>5016</v>
      </c>
      <c r="I58" s="215" t="s">
        <v>4863</v>
      </c>
      <c r="J58" s="215" t="s">
        <v>618</v>
      </c>
    </row>
    <row r="59" customFormat="false" ht="43.5" hidden="false" customHeight="true" outlineLevel="0" collapsed="false">
      <c r="A59" s="36" t="s">
        <v>634</v>
      </c>
      <c r="B59" s="36" t="s">
        <v>24</v>
      </c>
      <c r="C59" s="19" t="s">
        <v>5017</v>
      </c>
      <c r="D59" s="19" t="s">
        <v>5018</v>
      </c>
      <c r="E59" s="36" t="s">
        <v>1201</v>
      </c>
      <c r="F59" s="6" t="s">
        <v>587</v>
      </c>
      <c r="G59" s="215" t="s">
        <v>4861</v>
      </c>
      <c r="H59" s="6" t="s">
        <v>587</v>
      </c>
      <c r="I59" s="215" t="s">
        <v>4863</v>
      </c>
      <c r="J59" s="215" t="s">
        <v>618</v>
      </c>
    </row>
    <row r="60" customFormat="false" ht="43.5" hidden="false" customHeight="true" outlineLevel="0" collapsed="false">
      <c r="A60" s="36" t="s">
        <v>5019</v>
      </c>
      <c r="B60" s="215" t="s">
        <v>5020</v>
      </c>
      <c r="C60" s="6" t="s">
        <v>5021</v>
      </c>
      <c r="D60" s="6" t="s">
        <v>5022</v>
      </c>
      <c r="E60" s="36" t="s">
        <v>4977</v>
      </c>
      <c r="F60" s="6" t="s">
        <v>587</v>
      </c>
      <c r="G60" s="215" t="s">
        <v>4861</v>
      </c>
      <c r="H60" s="6" t="s">
        <v>587</v>
      </c>
      <c r="I60" s="215" t="s">
        <v>4863</v>
      </c>
      <c r="J60" s="215" t="s">
        <v>618</v>
      </c>
    </row>
    <row r="61" customFormat="false" ht="57.75" hidden="false" customHeight="true" outlineLevel="0" collapsed="false">
      <c r="A61" s="36" t="s">
        <v>5023</v>
      </c>
      <c r="B61" s="215" t="s">
        <v>5020</v>
      </c>
      <c r="C61" s="19" t="s">
        <v>5024</v>
      </c>
      <c r="D61" s="19" t="s">
        <v>5025</v>
      </c>
      <c r="E61" s="36" t="s">
        <v>4860</v>
      </c>
      <c r="F61" s="6" t="s">
        <v>587</v>
      </c>
      <c r="G61" s="215" t="s">
        <v>4861</v>
      </c>
      <c r="H61" s="6" t="s">
        <v>587</v>
      </c>
      <c r="I61" s="215" t="s">
        <v>4863</v>
      </c>
      <c r="J61" s="215" t="s">
        <v>618</v>
      </c>
    </row>
    <row r="62" customFormat="false" ht="29.25" hidden="false" customHeight="true" outlineLevel="0" collapsed="false">
      <c r="A62" s="36" t="s">
        <v>5026</v>
      </c>
      <c r="B62" s="215" t="s">
        <v>5020</v>
      </c>
      <c r="C62" s="19" t="s">
        <v>5027</v>
      </c>
      <c r="D62" s="6" t="s">
        <v>5028</v>
      </c>
      <c r="E62" s="36" t="s">
        <v>4860</v>
      </c>
      <c r="F62" s="6" t="s">
        <v>587</v>
      </c>
      <c r="G62" s="215" t="s">
        <v>4861</v>
      </c>
      <c r="H62" s="6" t="s">
        <v>587</v>
      </c>
      <c r="I62" s="215" t="s">
        <v>4863</v>
      </c>
      <c r="J62" s="215" t="s">
        <v>618</v>
      </c>
    </row>
    <row r="63" customFormat="false" ht="15" hidden="false" customHeight="true" outlineLevel="0" collapsed="false">
      <c r="A63" s="36" t="s">
        <v>5029</v>
      </c>
      <c r="B63" s="215" t="s">
        <v>5020</v>
      </c>
      <c r="C63" s="19" t="s">
        <v>5030</v>
      </c>
      <c r="D63" s="19" t="s">
        <v>5031</v>
      </c>
      <c r="E63" s="36" t="s">
        <v>4860</v>
      </c>
      <c r="F63" s="6" t="s">
        <v>587</v>
      </c>
      <c r="G63" s="215" t="s">
        <v>4861</v>
      </c>
      <c r="H63" s="6" t="s">
        <v>587</v>
      </c>
      <c r="I63" s="215" t="s">
        <v>4863</v>
      </c>
      <c r="J63" s="215" t="s">
        <v>618</v>
      </c>
    </row>
    <row r="64" customFormat="false" ht="29.25" hidden="false" customHeight="true" outlineLevel="0" collapsed="false">
      <c r="A64" s="36" t="s">
        <v>3845</v>
      </c>
      <c r="B64" s="215" t="s">
        <v>5020</v>
      </c>
      <c r="C64" s="19" t="s">
        <v>5032</v>
      </c>
      <c r="D64" s="19" t="s">
        <v>5033</v>
      </c>
      <c r="E64" s="36" t="s">
        <v>4860</v>
      </c>
      <c r="F64" s="19" t="s">
        <v>5034</v>
      </c>
      <c r="G64" s="215" t="s">
        <v>4861</v>
      </c>
      <c r="H64" s="6" t="s">
        <v>587</v>
      </c>
      <c r="I64" s="215" t="s">
        <v>4863</v>
      </c>
      <c r="J64" s="215" t="s">
        <v>618</v>
      </c>
    </row>
    <row r="65" customFormat="false" ht="29.25" hidden="false" customHeight="true" outlineLevel="0" collapsed="false">
      <c r="A65" s="36" t="s">
        <v>3352</v>
      </c>
      <c r="B65" s="215" t="s">
        <v>5020</v>
      </c>
      <c r="C65" s="6" t="s">
        <v>5035</v>
      </c>
      <c r="D65" s="6" t="s">
        <v>5036</v>
      </c>
      <c r="E65" s="36" t="s">
        <v>4860</v>
      </c>
      <c r="F65" s="6" t="s">
        <v>587</v>
      </c>
      <c r="G65" s="215" t="s">
        <v>4861</v>
      </c>
      <c r="H65" s="6" t="s">
        <v>587</v>
      </c>
      <c r="I65" s="215" t="s">
        <v>4863</v>
      </c>
      <c r="J65" s="215" t="s">
        <v>618</v>
      </c>
    </row>
    <row r="66" customFormat="false" ht="57.75" hidden="false" customHeight="true" outlineLevel="0" collapsed="false">
      <c r="A66" s="36" t="s">
        <v>3861</v>
      </c>
      <c r="B66" s="215" t="s">
        <v>5020</v>
      </c>
      <c r="C66" s="6" t="s">
        <v>5037</v>
      </c>
      <c r="D66" s="19" t="s">
        <v>5038</v>
      </c>
      <c r="E66" s="36" t="s">
        <v>4860</v>
      </c>
      <c r="F66" s="6" t="s">
        <v>587</v>
      </c>
      <c r="G66" s="215" t="s">
        <v>4861</v>
      </c>
      <c r="H66" s="6" t="s">
        <v>587</v>
      </c>
      <c r="I66" s="215" t="s">
        <v>4863</v>
      </c>
      <c r="J66" s="215" t="s">
        <v>618</v>
      </c>
    </row>
    <row r="67" customFormat="false" ht="43.5" hidden="false" customHeight="true" outlineLevel="0" collapsed="false">
      <c r="A67" s="36" t="s">
        <v>3366</v>
      </c>
      <c r="B67" s="215" t="s">
        <v>5020</v>
      </c>
      <c r="C67" s="19" t="s">
        <v>5039</v>
      </c>
      <c r="D67" s="19" t="s">
        <v>5040</v>
      </c>
      <c r="E67" s="36" t="s">
        <v>4860</v>
      </c>
      <c r="F67" s="6" t="s">
        <v>587</v>
      </c>
      <c r="G67" s="215" t="s">
        <v>4861</v>
      </c>
      <c r="H67" s="6" t="s">
        <v>587</v>
      </c>
      <c r="I67" s="215" t="s">
        <v>4863</v>
      </c>
      <c r="J67" s="215" t="s">
        <v>618</v>
      </c>
    </row>
    <row r="68" customFormat="false" ht="57.75" hidden="false" customHeight="true" outlineLevel="0" collapsed="false">
      <c r="A68" s="36" t="s">
        <v>3384</v>
      </c>
      <c r="B68" s="215" t="s">
        <v>5020</v>
      </c>
      <c r="C68" s="19" t="s">
        <v>5041</v>
      </c>
      <c r="D68" s="19" t="s">
        <v>5042</v>
      </c>
      <c r="E68" s="36" t="s">
        <v>4860</v>
      </c>
      <c r="F68" s="19" t="s">
        <v>5043</v>
      </c>
      <c r="G68" s="215" t="s">
        <v>4861</v>
      </c>
      <c r="H68" s="6" t="s">
        <v>587</v>
      </c>
      <c r="I68" s="215" t="s">
        <v>4863</v>
      </c>
      <c r="J68" s="215" t="s">
        <v>618</v>
      </c>
    </row>
    <row r="69" customFormat="false" ht="29.25" hidden="false" customHeight="true" outlineLevel="0" collapsed="false">
      <c r="A69" s="36" t="s">
        <v>3397</v>
      </c>
      <c r="B69" s="215" t="s">
        <v>5020</v>
      </c>
      <c r="C69" s="19" t="s">
        <v>5044</v>
      </c>
      <c r="D69" s="19" t="s">
        <v>5045</v>
      </c>
      <c r="E69" s="36" t="s">
        <v>4860</v>
      </c>
      <c r="F69" s="6" t="s">
        <v>587</v>
      </c>
      <c r="G69" s="215" t="s">
        <v>4861</v>
      </c>
      <c r="H69" s="6" t="s">
        <v>587</v>
      </c>
      <c r="I69" s="215" t="s">
        <v>4863</v>
      </c>
      <c r="J69" s="215" t="s">
        <v>618</v>
      </c>
    </row>
    <row r="70" customFormat="false" ht="15" hidden="false" customHeight="true" outlineLevel="0" collapsed="false">
      <c r="A70" s="36" t="s">
        <v>3415</v>
      </c>
      <c r="B70" s="215" t="s">
        <v>5020</v>
      </c>
      <c r="C70" s="19" t="s">
        <v>5046</v>
      </c>
      <c r="D70" s="19" t="s">
        <v>5047</v>
      </c>
      <c r="E70" s="36" t="s">
        <v>4860</v>
      </c>
      <c r="F70" s="6" t="s">
        <v>587</v>
      </c>
      <c r="G70" s="215" t="s">
        <v>4861</v>
      </c>
      <c r="H70" s="6" t="s">
        <v>587</v>
      </c>
      <c r="I70" s="215" t="s">
        <v>4863</v>
      </c>
      <c r="J70" s="215" t="s">
        <v>618</v>
      </c>
    </row>
    <row r="71" customFormat="false" ht="29.25" hidden="false" customHeight="true" outlineLevel="0" collapsed="false">
      <c r="A71" s="36" t="s">
        <v>3435</v>
      </c>
      <c r="B71" s="215" t="s">
        <v>5020</v>
      </c>
      <c r="C71" s="19" t="s">
        <v>5048</v>
      </c>
      <c r="D71" s="19" t="s">
        <v>5049</v>
      </c>
      <c r="E71" s="36" t="s">
        <v>4977</v>
      </c>
      <c r="F71" s="6" t="s">
        <v>587</v>
      </c>
      <c r="G71" s="215" t="s">
        <v>4861</v>
      </c>
      <c r="H71" s="6" t="s">
        <v>587</v>
      </c>
      <c r="I71" s="215" t="s">
        <v>4863</v>
      </c>
      <c r="J71" s="215" t="s">
        <v>618</v>
      </c>
    </row>
    <row r="72" customFormat="false" ht="129" hidden="false" customHeight="true" outlineLevel="0" collapsed="false">
      <c r="A72" s="36" t="s">
        <v>3912</v>
      </c>
      <c r="B72" s="215" t="s">
        <v>5020</v>
      </c>
      <c r="C72" s="6" t="s">
        <v>5050</v>
      </c>
      <c r="D72" s="6" t="s">
        <v>5051</v>
      </c>
      <c r="E72" s="36" t="s">
        <v>4977</v>
      </c>
      <c r="F72" s="19" t="s">
        <v>5052</v>
      </c>
      <c r="G72" s="215" t="s">
        <v>4861</v>
      </c>
      <c r="H72" s="6" t="s">
        <v>587</v>
      </c>
      <c r="I72" s="215" t="s">
        <v>4863</v>
      </c>
      <c r="J72" s="215" t="s">
        <v>618</v>
      </c>
    </row>
    <row r="73" customFormat="false" ht="57.75" hidden="false" customHeight="true" outlineLevel="0" collapsed="false">
      <c r="A73" s="36" t="s">
        <v>3449</v>
      </c>
      <c r="B73" s="215" t="s">
        <v>5020</v>
      </c>
      <c r="C73" s="19" t="s">
        <v>5053</v>
      </c>
      <c r="D73" s="19" t="s">
        <v>5054</v>
      </c>
      <c r="E73" s="36" t="s">
        <v>4977</v>
      </c>
      <c r="F73" s="19" t="s">
        <v>5055</v>
      </c>
      <c r="G73" s="215" t="s">
        <v>4861</v>
      </c>
      <c r="H73" s="6" t="s">
        <v>587</v>
      </c>
      <c r="I73" s="215" t="s">
        <v>4863</v>
      </c>
      <c r="J73" s="215" t="s">
        <v>618</v>
      </c>
    </row>
    <row r="74" customFormat="false" ht="29.25" hidden="false" customHeight="true" outlineLevel="0" collapsed="false">
      <c r="A74" s="36" t="s">
        <v>4393</v>
      </c>
      <c r="B74" s="36" t="s">
        <v>4988</v>
      </c>
      <c r="C74" s="19" t="s">
        <v>5056</v>
      </c>
      <c r="D74" s="6" t="s">
        <v>5057</v>
      </c>
      <c r="E74" s="36" t="s">
        <v>4977</v>
      </c>
      <c r="F74" s="6" t="s">
        <v>5058</v>
      </c>
      <c r="G74" s="215" t="s">
        <v>4861</v>
      </c>
      <c r="H74" s="6" t="s">
        <v>5059</v>
      </c>
      <c r="I74" s="215" t="s">
        <v>5060</v>
      </c>
      <c r="J74" s="215" t="s">
        <v>618</v>
      </c>
    </row>
    <row r="75" customFormat="false" ht="15" hidden="false" customHeight="true" outlineLevel="0" collapsed="false">
      <c r="A75" s="36" t="s">
        <v>5061</v>
      </c>
      <c r="B75" s="36" t="s">
        <v>5062</v>
      </c>
      <c r="C75" s="19" t="s">
        <v>5063</v>
      </c>
      <c r="D75" s="19" t="s">
        <v>5064</v>
      </c>
      <c r="E75" s="36" t="s">
        <v>4977</v>
      </c>
      <c r="F75" s="19" t="s">
        <v>5065</v>
      </c>
      <c r="G75" s="191" t="s">
        <v>5066</v>
      </c>
      <c r="H75" s="6" t="s">
        <v>5067</v>
      </c>
      <c r="I75" s="215" t="s">
        <v>5068</v>
      </c>
      <c r="J75" s="215" t="s">
        <v>618</v>
      </c>
    </row>
    <row r="76" customFormat="false" ht="15" hidden="false" customHeight="true" outlineLevel="0" collapsed="false">
      <c r="A76" s="36" t="s">
        <v>5069</v>
      </c>
      <c r="B76" s="36" t="s">
        <v>5062</v>
      </c>
      <c r="C76" s="19" t="s">
        <v>5070</v>
      </c>
      <c r="D76" s="19" t="s">
        <v>5071</v>
      </c>
      <c r="E76" s="36" t="s">
        <v>4977</v>
      </c>
      <c r="F76" s="19" t="s">
        <v>5065</v>
      </c>
      <c r="G76" s="191" t="s">
        <v>5066</v>
      </c>
      <c r="H76" s="6" t="s">
        <v>5067</v>
      </c>
      <c r="I76" s="215" t="s">
        <v>5068</v>
      </c>
      <c r="J76" s="215" t="s">
        <v>618</v>
      </c>
    </row>
    <row r="77" customFormat="false" ht="15" hidden="false" customHeight="true" outlineLevel="0" collapsed="false">
      <c r="A77" s="36" t="s">
        <v>5072</v>
      </c>
      <c r="B77" s="36" t="s">
        <v>5062</v>
      </c>
      <c r="C77" s="6" t="s">
        <v>5073</v>
      </c>
      <c r="D77" s="19" t="s">
        <v>5074</v>
      </c>
      <c r="E77" s="36" t="s">
        <v>4977</v>
      </c>
      <c r="F77" s="19" t="s">
        <v>5065</v>
      </c>
      <c r="G77" s="191" t="s">
        <v>5066</v>
      </c>
      <c r="H77" s="6" t="s">
        <v>5067</v>
      </c>
      <c r="I77" s="215" t="s">
        <v>5068</v>
      </c>
      <c r="J77" s="215" t="s">
        <v>618</v>
      </c>
    </row>
    <row r="78" customFormat="false" ht="15" hidden="false" customHeight="true" outlineLevel="0" collapsed="false">
      <c r="A78" s="36" t="s">
        <v>5075</v>
      </c>
      <c r="B78" s="36" t="s">
        <v>5062</v>
      </c>
      <c r="C78" s="19" t="s">
        <v>5076</v>
      </c>
      <c r="D78" s="19" t="s">
        <v>5077</v>
      </c>
      <c r="E78" s="36" t="s">
        <v>4977</v>
      </c>
      <c r="F78" s="19" t="s">
        <v>5065</v>
      </c>
      <c r="G78" s="191" t="s">
        <v>5066</v>
      </c>
      <c r="H78" s="6" t="s">
        <v>5067</v>
      </c>
      <c r="I78" s="215" t="s">
        <v>5068</v>
      </c>
      <c r="J78" s="215" t="s">
        <v>618</v>
      </c>
    </row>
    <row r="79" customFormat="false" ht="29.25" hidden="false" customHeight="true" outlineLevel="0" collapsed="false">
      <c r="A79" s="36" t="s">
        <v>5078</v>
      </c>
      <c r="B79" s="36" t="s">
        <v>5062</v>
      </c>
      <c r="C79" s="6" t="s">
        <v>5079</v>
      </c>
      <c r="D79" s="19" t="s">
        <v>5080</v>
      </c>
      <c r="E79" s="36" t="s">
        <v>4977</v>
      </c>
      <c r="F79" s="19" t="s">
        <v>5065</v>
      </c>
      <c r="G79" s="191" t="s">
        <v>5066</v>
      </c>
      <c r="H79" s="6" t="s">
        <v>5067</v>
      </c>
      <c r="I79" s="215" t="s">
        <v>5068</v>
      </c>
      <c r="J79" s="215" t="s">
        <v>618</v>
      </c>
    </row>
    <row r="80" customFormat="false" ht="15" hidden="false" customHeight="true" outlineLevel="0" collapsed="false">
      <c r="A80" s="36" t="s">
        <v>5081</v>
      </c>
      <c r="B80" s="36" t="s">
        <v>5062</v>
      </c>
      <c r="C80" s="19" t="s">
        <v>5082</v>
      </c>
      <c r="D80" s="19" t="s">
        <v>5083</v>
      </c>
      <c r="E80" s="36" t="s">
        <v>4977</v>
      </c>
      <c r="F80" s="19" t="s">
        <v>5065</v>
      </c>
      <c r="G80" s="191" t="s">
        <v>5066</v>
      </c>
      <c r="H80" s="6" t="s">
        <v>5067</v>
      </c>
      <c r="I80" s="215" t="s">
        <v>5068</v>
      </c>
      <c r="J80" s="215" t="s">
        <v>618</v>
      </c>
    </row>
    <row r="81" customFormat="false" ht="15" hidden="false" customHeight="true" outlineLevel="0" collapsed="false">
      <c r="A81" s="36" t="s">
        <v>5084</v>
      </c>
      <c r="B81" s="36" t="s">
        <v>5062</v>
      </c>
      <c r="C81" s="19" t="s">
        <v>5085</v>
      </c>
      <c r="D81" s="19" t="s">
        <v>5086</v>
      </c>
      <c r="E81" s="36" t="s">
        <v>4977</v>
      </c>
      <c r="F81" s="19" t="s">
        <v>5065</v>
      </c>
      <c r="G81" s="191" t="s">
        <v>5066</v>
      </c>
      <c r="H81" s="6" t="s">
        <v>5067</v>
      </c>
      <c r="I81" s="215" t="s">
        <v>5068</v>
      </c>
      <c r="J81" s="215" t="s">
        <v>618</v>
      </c>
    </row>
    <row r="82" customFormat="false" ht="15" hidden="false" customHeight="true" outlineLevel="0" collapsed="false">
      <c r="A82" s="36" t="s">
        <v>4749</v>
      </c>
      <c r="B82" s="36" t="s">
        <v>5062</v>
      </c>
      <c r="C82" s="19" t="s">
        <v>5087</v>
      </c>
      <c r="D82" s="19" t="s">
        <v>5088</v>
      </c>
      <c r="E82" s="36" t="s">
        <v>4977</v>
      </c>
      <c r="F82" s="19" t="s">
        <v>5065</v>
      </c>
      <c r="G82" s="191" t="s">
        <v>5066</v>
      </c>
      <c r="H82" s="6" t="s">
        <v>5067</v>
      </c>
      <c r="I82" s="215" t="s">
        <v>5068</v>
      </c>
      <c r="J82" s="215" t="s">
        <v>618</v>
      </c>
    </row>
    <row r="83" customFormat="false" ht="15" hidden="false" customHeight="true" outlineLevel="0" collapsed="false">
      <c r="A83" s="36" t="s">
        <v>5089</v>
      </c>
      <c r="B83" s="215" t="s">
        <v>5090</v>
      </c>
      <c r="C83" s="19" t="s">
        <v>5091</v>
      </c>
      <c r="D83" s="19" t="s">
        <v>5092</v>
      </c>
      <c r="E83" s="36" t="s">
        <v>4977</v>
      </c>
      <c r="F83" s="19" t="s">
        <v>5093</v>
      </c>
      <c r="G83" s="215" t="s">
        <v>4861</v>
      </c>
      <c r="H83" s="6" t="s">
        <v>587</v>
      </c>
      <c r="I83" s="215" t="s">
        <v>5094</v>
      </c>
      <c r="J83" s="215" t="s">
        <v>618</v>
      </c>
    </row>
    <row r="84" customFormat="false" ht="43.5" hidden="false" customHeight="true" outlineLevel="0" collapsed="false">
      <c r="A84" s="36" t="s">
        <v>5095</v>
      </c>
      <c r="B84" s="215" t="s">
        <v>5090</v>
      </c>
      <c r="C84" s="6" t="s">
        <v>5096</v>
      </c>
      <c r="D84" s="19" t="s">
        <v>5097</v>
      </c>
      <c r="E84" s="36" t="s">
        <v>4977</v>
      </c>
      <c r="F84" s="19" t="s">
        <v>5098</v>
      </c>
      <c r="G84" s="215" t="s">
        <v>4861</v>
      </c>
      <c r="H84" s="6" t="s">
        <v>5099</v>
      </c>
      <c r="I84" s="215" t="s">
        <v>5094</v>
      </c>
      <c r="J84" s="215" t="s">
        <v>618</v>
      </c>
    </row>
    <row r="85" customFormat="false" ht="26.25" hidden="false" customHeight="true" outlineLevel="0" collapsed="false">
      <c r="A85" s="36" t="s">
        <v>5100</v>
      </c>
      <c r="B85" s="215" t="s">
        <v>5090</v>
      </c>
      <c r="C85" s="6" t="s">
        <v>5101</v>
      </c>
      <c r="D85" s="6" t="s">
        <v>5102</v>
      </c>
      <c r="E85" s="36" t="s">
        <v>4977</v>
      </c>
      <c r="F85" s="19" t="s">
        <v>5098</v>
      </c>
      <c r="G85" s="215" t="s">
        <v>4861</v>
      </c>
      <c r="H85" s="6" t="s">
        <v>5103</v>
      </c>
      <c r="I85" s="215" t="s">
        <v>5094</v>
      </c>
      <c r="J85" s="215" t="s">
        <v>618</v>
      </c>
    </row>
    <row r="86" customFormat="false" ht="29.25" hidden="false" customHeight="true" outlineLevel="0" collapsed="false">
      <c r="A86" s="36" t="s">
        <v>5104</v>
      </c>
      <c r="B86" s="215" t="s">
        <v>5090</v>
      </c>
      <c r="C86" s="19" t="s">
        <v>5105</v>
      </c>
      <c r="D86" s="19" t="s">
        <v>5106</v>
      </c>
      <c r="E86" s="36" t="s">
        <v>4977</v>
      </c>
      <c r="F86" s="19" t="s">
        <v>5098</v>
      </c>
      <c r="G86" s="215" t="s">
        <v>4861</v>
      </c>
      <c r="H86" s="6" t="s">
        <v>587</v>
      </c>
      <c r="I86" s="215" t="s">
        <v>5094</v>
      </c>
      <c r="J86" s="215" t="s">
        <v>618</v>
      </c>
    </row>
    <row r="87" customFormat="false" ht="29.25" hidden="false" customHeight="true" outlineLevel="0" collapsed="false">
      <c r="A87" s="36" t="s">
        <v>5107</v>
      </c>
      <c r="B87" s="215" t="s">
        <v>5090</v>
      </c>
      <c r="C87" s="19" t="s">
        <v>5108</v>
      </c>
      <c r="D87" s="19" t="s">
        <v>5109</v>
      </c>
      <c r="E87" s="36" t="s">
        <v>4977</v>
      </c>
      <c r="F87" s="19" t="s">
        <v>5093</v>
      </c>
      <c r="G87" s="215" t="s">
        <v>4861</v>
      </c>
      <c r="H87" s="6" t="s">
        <v>5110</v>
      </c>
      <c r="I87" s="215" t="s">
        <v>5094</v>
      </c>
      <c r="J87" s="215" t="s">
        <v>618</v>
      </c>
    </row>
    <row r="88" customFormat="false" ht="29.25" hidden="false" customHeight="true" outlineLevel="0" collapsed="false">
      <c r="A88" s="36" t="s">
        <v>4540</v>
      </c>
      <c r="B88" s="215" t="s">
        <v>5090</v>
      </c>
      <c r="C88" s="6" t="s">
        <v>5111</v>
      </c>
      <c r="D88" s="6" t="s">
        <v>5112</v>
      </c>
      <c r="E88" s="36" t="s">
        <v>4977</v>
      </c>
      <c r="F88" s="19" t="s">
        <v>5098</v>
      </c>
      <c r="G88" s="215" t="s">
        <v>4861</v>
      </c>
      <c r="H88" s="6" t="s">
        <v>5113</v>
      </c>
      <c r="I88" s="215" t="s">
        <v>5094</v>
      </c>
      <c r="J88" s="215" t="s">
        <v>618</v>
      </c>
    </row>
    <row r="89" customFormat="false" ht="29.25" hidden="false" customHeight="true" outlineLevel="0" collapsed="false">
      <c r="A89" s="36" t="s">
        <v>5114</v>
      </c>
      <c r="B89" s="215" t="s">
        <v>5090</v>
      </c>
      <c r="C89" s="19" t="s">
        <v>5115</v>
      </c>
      <c r="D89" s="6" t="s">
        <v>5116</v>
      </c>
      <c r="E89" s="36" t="s">
        <v>4977</v>
      </c>
      <c r="F89" s="19" t="s">
        <v>5098</v>
      </c>
      <c r="G89" s="215" t="s">
        <v>4861</v>
      </c>
      <c r="H89" s="6" t="s">
        <v>587</v>
      </c>
      <c r="I89" s="215" t="s">
        <v>5094</v>
      </c>
      <c r="J89" s="215" t="s">
        <v>618</v>
      </c>
    </row>
    <row r="90" customFormat="false" ht="43.5" hidden="false" customHeight="true" outlineLevel="0" collapsed="false">
      <c r="A90" s="36" t="s">
        <v>5117</v>
      </c>
      <c r="B90" s="215" t="s">
        <v>5090</v>
      </c>
      <c r="C90" s="19" t="s">
        <v>5118</v>
      </c>
      <c r="D90" s="19" t="s">
        <v>5119</v>
      </c>
      <c r="E90" s="36" t="s">
        <v>4977</v>
      </c>
      <c r="F90" s="19" t="s">
        <v>5120</v>
      </c>
      <c r="G90" s="215" t="s">
        <v>4861</v>
      </c>
      <c r="H90" s="6" t="s">
        <v>587</v>
      </c>
      <c r="I90" s="215" t="s">
        <v>5094</v>
      </c>
      <c r="J90" s="215" t="s">
        <v>618</v>
      </c>
    </row>
    <row r="91" customFormat="false" ht="29.25" hidden="false" customHeight="true" outlineLevel="0" collapsed="false">
      <c r="A91" s="36" t="s">
        <v>5121</v>
      </c>
      <c r="B91" s="215" t="s">
        <v>5090</v>
      </c>
      <c r="C91" s="19" t="s">
        <v>5122</v>
      </c>
      <c r="D91" s="6" t="s">
        <v>5123</v>
      </c>
      <c r="E91" s="36" t="s">
        <v>4977</v>
      </c>
      <c r="F91" s="6" t="s">
        <v>587</v>
      </c>
      <c r="G91" s="215" t="s">
        <v>4861</v>
      </c>
      <c r="H91" s="6" t="s">
        <v>587</v>
      </c>
      <c r="I91" s="215" t="s">
        <v>5094</v>
      </c>
      <c r="J91" s="215" t="s">
        <v>618</v>
      </c>
    </row>
    <row r="92" customFormat="false" ht="15" hidden="false" customHeight="true" outlineLevel="0" collapsed="false">
      <c r="A92" s="36" t="s">
        <v>5124</v>
      </c>
      <c r="B92" s="215" t="s">
        <v>5090</v>
      </c>
      <c r="C92" s="19" t="s">
        <v>5125</v>
      </c>
      <c r="D92" s="19" t="s">
        <v>5126</v>
      </c>
      <c r="E92" s="36" t="s">
        <v>4977</v>
      </c>
      <c r="F92" s="6" t="s">
        <v>587</v>
      </c>
      <c r="G92" s="215" t="s">
        <v>4861</v>
      </c>
      <c r="H92" s="6" t="s">
        <v>587</v>
      </c>
      <c r="I92" s="215" t="s">
        <v>5094</v>
      </c>
      <c r="J92" s="215" t="s">
        <v>618</v>
      </c>
    </row>
    <row r="93" customFormat="false" ht="29.25" hidden="false" customHeight="true" outlineLevel="0" collapsed="false">
      <c r="A93" s="36" t="s">
        <v>5127</v>
      </c>
      <c r="B93" s="215" t="s">
        <v>5090</v>
      </c>
      <c r="C93" s="6" t="s">
        <v>5128</v>
      </c>
      <c r="D93" s="19" t="s">
        <v>5129</v>
      </c>
      <c r="E93" s="36" t="s">
        <v>4977</v>
      </c>
      <c r="F93" s="19" t="s">
        <v>5130</v>
      </c>
      <c r="G93" s="215" t="s">
        <v>4861</v>
      </c>
      <c r="H93" s="6" t="s">
        <v>4979</v>
      </c>
      <c r="I93" s="215" t="s">
        <v>5094</v>
      </c>
      <c r="J93" s="215" t="s">
        <v>618</v>
      </c>
    </row>
    <row r="94" customFormat="false" ht="29.25" hidden="false" customHeight="true" outlineLevel="0" collapsed="false">
      <c r="A94" s="36" t="s">
        <v>3343</v>
      </c>
      <c r="B94" s="215" t="s">
        <v>5131</v>
      </c>
      <c r="C94" s="6" t="s">
        <v>5132</v>
      </c>
      <c r="D94" s="6" t="s">
        <v>5133</v>
      </c>
      <c r="E94" s="36" t="s">
        <v>5134</v>
      </c>
      <c r="F94" s="220" t="s">
        <v>5135</v>
      </c>
      <c r="G94" s="215" t="s">
        <v>4861</v>
      </c>
      <c r="H94" s="6" t="s">
        <v>5136</v>
      </c>
      <c r="I94" s="36" t="s">
        <v>5137</v>
      </c>
      <c r="J94" s="215" t="s">
        <v>618</v>
      </c>
    </row>
    <row r="95" customFormat="false" ht="51.75" hidden="false" customHeight="true" outlineLevel="0" collapsed="false">
      <c r="A95" s="36" t="s">
        <v>5138</v>
      </c>
      <c r="B95" s="36" t="s">
        <v>5062</v>
      </c>
      <c r="C95" s="19" t="s">
        <v>5139</v>
      </c>
      <c r="D95" s="6" t="s">
        <v>5140</v>
      </c>
      <c r="E95" s="36" t="s">
        <v>5141</v>
      </c>
      <c r="F95" s="19" t="s">
        <v>5142</v>
      </c>
      <c r="G95" s="36" t="s">
        <v>5143</v>
      </c>
      <c r="H95" s="6" t="s">
        <v>5144</v>
      </c>
      <c r="I95" s="215" t="s">
        <v>5145</v>
      </c>
      <c r="J95" s="215" t="s">
        <v>618</v>
      </c>
    </row>
    <row r="96" customFormat="false" ht="26.25" hidden="false" customHeight="true" outlineLevel="0" collapsed="false">
      <c r="A96" s="36" t="s">
        <v>5146</v>
      </c>
      <c r="B96" s="36" t="s">
        <v>5062</v>
      </c>
      <c r="C96" s="19" t="s">
        <v>4784</v>
      </c>
      <c r="D96" s="19" t="s">
        <v>5147</v>
      </c>
      <c r="E96" s="36" t="s">
        <v>5141</v>
      </c>
      <c r="F96" s="19" t="s">
        <v>5148</v>
      </c>
      <c r="G96" s="36" t="s">
        <v>5143</v>
      </c>
      <c r="H96" s="6" t="s">
        <v>5149</v>
      </c>
      <c r="I96" s="215" t="s">
        <v>5145</v>
      </c>
      <c r="J96" s="215" t="s">
        <v>618</v>
      </c>
    </row>
    <row r="97" customFormat="false" ht="26.25" hidden="false" customHeight="true" outlineLevel="0" collapsed="false">
      <c r="A97" s="36" t="s">
        <v>5150</v>
      </c>
      <c r="B97" s="36" t="s">
        <v>5151</v>
      </c>
      <c r="C97" s="19" t="s">
        <v>5152</v>
      </c>
      <c r="D97" s="6" t="s">
        <v>5153</v>
      </c>
      <c r="E97" s="36" t="s">
        <v>5154</v>
      </c>
      <c r="F97" s="19" t="s">
        <v>5155</v>
      </c>
      <c r="G97" s="215" t="s">
        <v>5156</v>
      </c>
      <c r="H97" s="6" t="s">
        <v>5157</v>
      </c>
      <c r="I97" s="215" t="s">
        <v>5158</v>
      </c>
      <c r="J97" s="215" t="s">
        <v>618</v>
      </c>
    </row>
    <row r="98" customFormat="false" ht="26.25" hidden="false" customHeight="true" outlineLevel="0" collapsed="false">
      <c r="A98" s="36" t="s">
        <v>5159</v>
      </c>
      <c r="B98" s="36" t="s">
        <v>5151</v>
      </c>
      <c r="C98" s="6" t="s">
        <v>5160</v>
      </c>
      <c r="D98" s="6" t="s">
        <v>5161</v>
      </c>
      <c r="E98" s="36" t="s">
        <v>5154</v>
      </c>
      <c r="F98" s="19" t="s">
        <v>5155</v>
      </c>
      <c r="G98" s="215" t="s">
        <v>5156</v>
      </c>
      <c r="H98" s="6" t="s">
        <v>5162</v>
      </c>
      <c r="I98" s="215" t="s">
        <v>5158</v>
      </c>
      <c r="J98" s="215" t="s">
        <v>618</v>
      </c>
    </row>
    <row r="99" customFormat="false" ht="51.75" hidden="false" customHeight="true" outlineLevel="0" collapsed="false">
      <c r="A99" s="36" t="s">
        <v>3114</v>
      </c>
      <c r="B99" s="36" t="s">
        <v>5151</v>
      </c>
      <c r="C99" s="19" t="s">
        <v>5163</v>
      </c>
      <c r="D99" s="19" t="s">
        <v>5164</v>
      </c>
      <c r="E99" s="36" t="s">
        <v>5154</v>
      </c>
      <c r="F99" s="19" t="s">
        <v>5165</v>
      </c>
      <c r="G99" s="215" t="s">
        <v>5156</v>
      </c>
      <c r="H99" s="6" t="s">
        <v>5166</v>
      </c>
      <c r="I99" s="215" t="s">
        <v>5167</v>
      </c>
      <c r="J99" s="215" t="s">
        <v>618</v>
      </c>
    </row>
    <row r="100" customFormat="false" ht="39" hidden="false" customHeight="true" outlineLevel="0" collapsed="false">
      <c r="A100" s="36" t="s">
        <v>3966</v>
      </c>
      <c r="B100" s="36" t="s">
        <v>5151</v>
      </c>
      <c r="C100" s="19" t="s">
        <v>5168</v>
      </c>
      <c r="D100" s="19" t="s">
        <v>5169</v>
      </c>
      <c r="E100" s="36" t="s">
        <v>5154</v>
      </c>
      <c r="F100" s="19" t="s">
        <v>5170</v>
      </c>
      <c r="G100" s="215" t="s">
        <v>5156</v>
      </c>
      <c r="H100" s="6" t="s">
        <v>5171</v>
      </c>
      <c r="I100" s="215" t="s">
        <v>5167</v>
      </c>
      <c r="J100" s="215" t="s">
        <v>618</v>
      </c>
    </row>
    <row r="101" customFormat="false" ht="51.75" hidden="false" customHeight="true" outlineLevel="0" collapsed="false">
      <c r="A101" s="36" t="s">
        <v>5172</v>
      </c>
      <c r="B101" s="36" t="s">
        <v>5151</v>
      </c>
      <c r="C101" s="19" t="s">
        <v>5173</v>
      </c>
      <c r="D101" s="6" t="s">
        <v>5174</v>
      </c>
      <c r="E101" s="36" t="s">
        <v>5175</v>
      </c>
      <c r="F101" s="6" t="s">
        <v>5176</v>
      </c>
      <c r="G101" s="215" t="s">
        <v>5156</v>
      </c>
      <c r="H101" s="6" t="s">
        <v>5177</v>
      </c>
      <c r="I101" s="215" t="s">
        <v>5178</v>
      </c>
      <c r="J101" s="215" t="s">
        <v>590</v>
      </c>
    </row>
    <row r="102" customFormat="false" ht="39" hidden="false" customHeight="true" outlineLevel="0" collapsed="false">
      <c r="A102" s="36" t="s">
        <v>5179</v>
      </c>
      <c r="B102" s="36" t="s">
        <v>5151</v>
      </c>
      <c r="C102" s="6" t="s">
        <v>5180</v>
      </c>
      <c r="D102" s="6" t="s">
        <v>5181</v>
      </c>
      <c r="E102" s="36" t="s">
        <v>5175</v>
      </c>
      <c r="F102" s="6" t="s">
        <v>5182</v>
      </c>
      <c r="G102" s="215" t="s">
        <v>5156</v>
      </c>
      <c r="H102" s="6" t="s">
        <v>5183</v>
      </c>
      <c r="I102" s="215" t="s">
        <v>5184</v>
      </c>
      <c r="J102" s="215" t="s">
        <v>590</v>
      </c>
    </row>
    <row r="103" customFormat="false" ht="39" hidden="false" customHeight="true" outlineLevel="0" collapsed="false">
      <c r="A103" s="36" t="s">
        <v>5185</v>
      </c>
      <c r="B103" s="36" t="s">
        <v>5151</v>
      </c>
      <c r="C103" s="6" t="s">
        <v>5186</v>
      </c>
      <c r="D103" s="6" t="s">
        <v>5187</v>
      </c>
      <c r="E103" s="36" t="s">
        <v>5175</v>
      </c>
      <c r="F103" s="6" t="s">
        <v>5188</v>
      </c>
      <c r="G103" s="215" t="s">
        <v>5156</v>
      </c>
      <c r="H103" s="6" t="s">
        <v>5189</v>
      </c>
      <c r="I103" s="36" t="s">
        <v>5190</v>
      </c>
      <c r="J103" s="215" t="s">
        <v>590</v>
      </c>
    </row>
    <row r="104" customFormat="false" ht="26.25" hidden="false" customHeight="true" outlineLevel="0" collapsed="false">
      <c r="A104" s="36" t="s">
        <v>5191</v>
      </c>
      <c r="B104" s="36" t="s">
        <v>5151</v>
      </c>
      <c r="C104" s="6" t="s">
        <v>5192</v>
      </c>
      <c r="D104" s="19" t="s">
        <v>5193</v>
      </c>
      <c r="E104" s="36" t="s">
        <v>5154</v>
      </c>
      <c r="F104" s="19" t="s">
        <v>5194</v>
      </c>
      <c r="G104" s="215" t="s">
        <v>5156</v>
      </c>
      <c r="H104" s="6" t="s">
        <v>5195</v>
      </c>
      <c r="I104" s="215" t="s">
        <v>5196</v>
      </c>
      <c r="J104" s="215" t="s">
        <v>618</v>
      </c>
    </row>
    <row r="105" customFormat="false" ht="51.75" hidden="false" customHeight="true" outlineLevel="0" collapsed="false">
      <c r="A105" s="36" t="s">
        <v>3124</v>
      </c>
      <c r="B105" s="36" t="s">
        <v>5197</v>
      </c>
      <c r="C105" s="6" t="s">
        <v>5198</v>
      </c>
      <c r="D105" s="6" t="s">
        <v>5199</v>
      </c>
      <c r="E105" s="36" t="s">
        <v>5175</v>
      </c>
      <c r="F105" s="19" t="s">
        <v>5200</v>
      </c>
      <c r="G105" s="36" t="s">
        <v>5201</v>
      </c>
      <c r="H105" s="6" t="s">
        <v>5202</v>
      </c>
      <c r="I105" s="215" t="s">
        <v>5203</v>
      </c>
      <c r="J105" s="215" t="s">
        <v>618</v>
      </c>
    </row>
    <row r="106" customFormat="false" ht="51.75" hidden="false" customHeight="true" outlineLevel="0" collapsed="false">
      <c r="A106" s="36" t="s">
        <v>5204</v>
      </c>
      <c r="B106" s="36" t="s">
        <v>5197</v>
      </c>
      <c r="C106" s="6" t="s">
        <v>5205</v>
      </c>
      <c r="D106" s="6" t="s">
        <v>5206</v>
      </c>
      <c r="E106" s="36" t="s">
        <v>5175</v>
      </c>
      <c r="F106" s="19" t="s">
        <v>5207</v>
      </c>
      <c r="G106" s="36" t="s">
        <v>5201</v>
      </c>
      <c r="H106" s="6" t="s">
        <v>5208</v>
      </c>
      <c r="I106" s="215" t="s">
        <v>5209</v>
      </c>
      <c r="J106" s="215" t="s">
        <v>618</v>
      </c>
    </row>
    <row r="107" customFormat="false" ht="64.5" hidden="false" customHeight="true" outlineLevel="0" collapsed="false">
      <c r="A107" s="36" t="s">
        <v>5210</v>
      </c>
      <c r="B107" s="36" t="s">
        <v>5211</v>
      </c>
      <c r="C107" s="6" t="s">
        <v>5212</v>
      </c>
      <c r="D107" s="6" t="s">
        <v>5213</v>
      </c>
      <c r="E107" s="36" t="s">
        <v>5175</v>
      </c>
      <c r="F107" s="19" t="s">
        <v>5214</v>
      </c>
      <c r="G107" s="36" t="s">
        <v>5215</v>
      </c>
      <c r="H107" s="6" t="s">
        <v>5216</v>
      </c>
      <c r="I107" s="215" t="s">
        <v>5217</v>
      </c>
      <c r="J107" s="215" t="s">
        <v>618</v>
      </c>
    </row>
    <row r="108" customFormat="false" ht="51.75" hidden="false" customHeight="true" outlineLevel="0" collapsed="false">
      <c r="A108" s="36" t="s">
        <v>5218</v>
      </c>
      <c r="B108" s="36" t="s">
        <v>5211</v>
      </c>
      <c r="C108" s="6" t="s">
        <v>5219</v>
      </c>
      <c r="D108" s="6" t="s">
        <v>5220</v>
      </c>
      <c r="E108" s="36" t="s">
        <v>5175</v>
      </c>
      <c r="F108" s="19" t="s">
        <v>5221</v>
      </c>
      <c r="G108" s="36" t="s">
        <v>5222</v>
      </c>
      <c r="H108" s="6" t="s">
        <v>5223</v>
      </c>
      <c r="I108" s="215" t="s">
        <v>5224</v>
      </c>
      <c r="J108" s="215" t="s">
        <v>618</v>
      </c>
    </row>
    <row r="109" customFormat="false" ht="51.75" hidden="false" customHeight="true" outlineLevel="0" collapsed="false">
      <c r="A109" s="36" t="s">
        <v>5225</v>
      </c>
      <c r="B109" s="36" t="s">
        <v>5211</v>
      </c>
      <c r="C109" s="6" t="s">
        <v>5226</v>
      </c>
      <c r="D109" s="6" t="s">
        <v>5227</v>
      </c>
      <c r="E109" s="36" t="s">
        <v>5175</v>
      </c>
      <c r="F109" s="19" t="s">
        <v>5228</v>
      </c>
      <c r="G109" s="36" t="s">
        <v>5215</v>
      </c>
      <c r="H109" s="6" t="s">
        <v>5229</v>
      </c>
      <c r="I109" s="215" t="s">
        <v>5230</v>
      </c>
      <c r="J109" s="215" t="s">
        <v>618</v>
      </c>
    </row>
    <row r="110" customFormat="false" ht="51.75" hidden="false" customHeight="true" outlineLevel="0" collapsed="false">
      <c r="A110" s="36" t="s">
        <v>5231</v>
      </c>
      <c r="B110" s="36" t="s">
        <v>5232</v>
      </c>
      <c r="C110" s="6" t="s">
        <v>5233</v>
      </c>
      <c r="D110" s="6" t="s">
        <v>5234</v>
      </c>
      <c r="E110" s="36" t="s">
        <v>5175</v>
      </c>
      <c r="F110" s="19" t="s">
        <v>5235</v>
      </c>
      <c r="G110" s="36" t="s">
        <v>5236</v>
      </c>
      <c r="H110" s="6" t="s">
        <v>5237</v>
      </c>
      <c r="I110" s="215" t="s">
        <v>5238</v>
      </c>
      <c r="J110" s="215" t="s">
        <v>618</v>
      </c>
    </row>
    <row r="111" customFormat="false" ht="77.25" hidden="false" customHeight="true" outlineLevel="0" collapsed="false">
      <c r="A111" s="36" t="s">
        <v>3128</v>
      </c>
      <c r="B111" s="36" t="s">
        <v>5239</v>
      </c>
      <c r="C111" s="19" t="s">
        <v>5240</v>
      </c>
      <c r="D111" s="19" t="s">
        <v>5241</v>
      </c>
      <c r="E111" s="36" t="s">
        <v>5175</v>
      </c>
      <c r="F111" s="19" t="s">
        <v>5242</v>
      </c>
      <c r="G111" s="36" t="s">
        <v>5243</v>
      </c>
      <c r="H111" s="6" t="s">
        <v>5244</v>
      </c>
      <c r="I111" s="215" t="s">
        <v>5245</v>
      </c>
      <c r="J111" s="215" t="s">
        <v>618</v>
      </c>
    </row>
    <row r="112" customFormat="false" ht="51.75" hidden="false" customHeight="true" outlineLevel="0" collapsed="false">
      <c r="A112" s="36" t="s">
        <v>5246</v>
      </c>
      <c r="B112" s="36" t="s">
        <v>5239</v>
      </c>
      <c r="C112" s="6" t="s">
        <v>5247</v>
      </c>
      <c r="D112" s="6" t="s">
        <v>5248</v>
      </c>
      <c r="E112" s="36" t="s">
        <v>5175</v>
      </c>
      <c r="F112" s="19" t="s">
        <v>5249</v>
      </c>
      <c r="G112" s="36" t="s">
        <v>5243</v>
      </c>
      <c r="H112" s="6" t="s">
        <v>5250</v>
      </c>
      <c r="I112" s="215" t="s">
        <v>5251</v>
      </c>
      <c r="J112" s="215" t="s">
        <v>618</v>
      </c>
    </row>
    <row r="113" customFormat="false" ht="51.75" hidden="false" customHeight="true" outlineLevel="0" collapsed="false">
      <c r="A113" s="36" t="s">
        <v>5252</v>
      </c>
      <c r="B113" s="36" t="s">
        <v>5239</v>
      </c>
      <c r="C113" s="6" t="s">
        <v>5253</v>
      </c>
      <c r="D113" s="6" t="s">
        <v>5254</v>
      </c>
      <c r="E113" s="36" t="s">
        <v>5175</v>
      </c>
      <c r="F113" s="19" t="s">
        <v>5255</v>
      </c>
      <c r="G113" s="36" t="s">
        <v>5243</v>
      </c>
      <c r="H113" s="6" t="s">
        <v>5256</v>
      </c>
      <c r="I113" s="215" t="s">
        <v>5257</v>
      </c>
      <c r="J113" s="215" t="s">
        <v>618</v>
      </c>
    </row>
    <row r="114" customFormat="false" ht="141" hidden="false" customHeight="true" outlineLevel="0" collapsed="false">
      <c r="A114" s="36" t="s">
        <v>4828</v>
      </c>
      <c r="B114" s="36" t="s">
        <v>5258</v>
      </c>
      <c r="C114" s="6" t="s">
        <v>5259</v>
      </c>
      <c r="D114" s="6" t="s">
        <v>5260</v>
      </c>
      <c r="E114" s="36" t="s">
        <v>5261</v>
      </c>
      <c r="F114" s="19" t="s">
        <v>5262</v>
      </c>
      <c r="G114" s="36" t="s">
        <v>5263</v>
      </c>
      <c r="H114" s="6" t="s">
        <v>5264</v>
      </c>
      <c r="I114" s="215" t="s">
        <v>5265</v>
      </c>
      <c r="J114" s="215" t="s">
        <v>618</v>
      </c>
    </row>
    <row r="115" customFormat="false" ht="57.75" hidden="false" customHeight="true" outlineLevel="0" collapsed="false">
      <c r="A115" s="36" t="s">
        <v>5266</v>
      </c>
      <c r="B115" s="36" t="s">
        <v>5267</v>
      </c>
      <c r="C115" s="6" t="s">
        <v>5268</v>
      </c>
      <c r="D115" s="6" t="s">
        <v>5269</v>
      </c>
      <c r="E115" s="36" t="s">
        <v>5261</v>
      </c>
      <c r="F115" s="220" t="s">
        <v>5270</v>
      </c>
      <c r="G115" s="36" t="s">
        <v>5271</v>
      </c>
      <c r="H115" s="6" t="s">
        <v>5272</v>
      </c>
      <c r="I115" s="191" t="s">
        <v>5273</v>
      </c>
      <c r="J115" s="191" t="s">
        <v>618</v>
      </c>
    </row>
    <row r="116" customFormat="false" ht="213.75" hidden="false" customHeight="true" outlineLevel="0" collapsed="false">
      <c r="A116" s="36" t="s">
        <v>5274</v>
      </c>
      <c r="B116" s="36" t="s">
        <v>5267</v>
      </c>
      <c r="C116" s="6" t="s">
        <v>5275</v>
      </c>
      <c r="D116" s="6" t="s">
        <v>5276</v>
      </c>
      <c r="E116" s="36" t="s">
        <v>5261</v>
      </c>
      <c r="F116" s="220" t="s">
        <v>5270</v>
      </c>
      <c r="G116" s="36" t="s">
        <v>5271</v>
      </c>
      <c r="H116" s="6" t="s">
        <v>5277</v>
      </c>
      <c r="I116" s="191" t="s">
        <v>5278</v>
      </c>
      <c r="J116" s="191" t="s">
        <v>618</v>
      </c>
    </row>
    <row r="117" customFormat="false" ht="213.75" hidden="false" customHeight="true" outlineLevel="0" collapsed="false">
      <c r="A117" s="36" t="s">
        <v>5279</v>
      </c>
      <c r="B117" s="36" t="s">
        <v>5280</v>
      </c>
      <c r="C117" s="6" t="s">
        <v>5281</v>
      </c>
      <c r="D117" s="6" t="s">
        <v>5282</v>
      </c>
      <c r="E117" s="36" t="s">
        <v>2710</v>
      </c>
      <c r="F117" s="220" t="s">
        <v>5270</v>
      </c>
      <c r="G117" s="36" t="s">
        <v>5283</v>
      </c>
      <c r="H117" s="6" t="s">
        <v>5284</v>
      </c>
      <c r="I117" s="191" t="s">
        <v>5285</v>
      </c>
      <c r="J117" s="191" t="s">
        <v>618</v>
      </c>
    </row>
    <row r="118" customFormat="false" ht="55.2" hidden="false" customHeight="false" outlineLevel="0" collapsed="false">
      <c r="A118" s="54" t="s">
        <v>5286</v>
      </c>
      <c r="B118" s="54" t="s">
        <v>5287</v>
      </c>
      <c r="C118" s="6" t="s">
        <v>5288</v>
      </c>
      <c r="D118" s="6" t="s">
        <v>5289</v>
      </c>
      <c r="E118" s="54" t="s">
        <v>2710</v>
      </c>
      <c r="F118" s="6" t="s">
        <v>5290</v>
      </c>
      <c r="G118" s="54" t="s">
        <v>5291</v>
      </c>
      <c r="H118" s="6" t="s">
        <v>5292</v>
      </c>
      <c r="I118" s="53" t="s">
        <v>5293</v>
      </c>
      <c r="J118" s="53" t="s">
        <v>618</v>
      </c>
    </row>
    <row r="119" customFormat="false" ht="55.2" hidden="false" customHeight="false" outlineLevel="0" collapsed="false">
      <c r="A119" s="54" t="s">
        <v>5294</v>
      </c>
      <c r="B119" s="54" t="s">
        <v>5287</v>
      </c>
      <c r="C119" s="6" t="s">
        <v>5295</v>
      </c>
      <c r="D119" s="5" t="s">
        <v>5296</v>
      </c>
      <c r="E119" s="54" t="s">
        <v>2710</v>
      </c>
      <c r="F119" s="6" t="s">
        <v>5290</v>
      </c>
      <c r="G119" s="54" t="s">
        <v>5291</v>
      </c>
      <c r="H119" s="6" t="s">
        <v>5297</v>
      </c>
      <c r="I119" s="53" t="s">
        <v>5293</v>
      </c>
      <c r="J119" s="53" t="s">
        <v>618</v>
      </c>
    </row>
    <row r="120" customFormat="false" ht="55.2" hidden="false" customHeight="false" outlineLevel="0" collapsed="false">
      <c r="A120" s="54" t="s">
        <v>5298</v>
      </c>
      <c r="B120" s="54" t="s">
        <v>5287</v>
      </c>
      <c r="C120" s="6" t="s">
        <v>5299</v>
      </c>
      <c r="D120" s="6" t="s">
        <v>5300</v>
      </c>
      <c r="E120" s="54" t="s">
        <v>2710</v>
      </c>
      <c r="F120" s="6" t="s">
        <v>5290</v>
      </c>
      <c r="G120" s="54" t="s">
        <v>5291</v>
      </c>
      <c r="H120" s="6" t="s">
        <v>5301</v>
      </c>
      <c r="I120" s="53" t="s">
        <v>5293</v>
      </c>
      <c r="J120" s="53" t="s">
        <v>618</v>
      </c>
    </row>
    <row r="121" customFormat="false" ht="55.2" hidden="false" customHeight="false" outlineLevel="0" collapsed="false">
      <c r="A121" s="54" t="s">
        <v>5302</v>
      </c>
      <c r="B121" s="54" t="s">
        <v>5287</v>
      </c>
      <c r="C121" s="6" t="s">
        <v>5303</v>
      </c>
      <c r="D121" s="5" t="s">
        <v>5304</v>
      </c>
      <c r="E121" s="54" t="s">
        <v>2710</v>
      </c>
      <c r="F121" s="6" t="s">
        <v>5290</v>
      </c>
      <c r="G121" s="54" t="s">
        <v>5291</v>
      </c>
      <c r="H121" s="6" t="s">
        <v>5305</v>
      </c>
      <c r="I121" s="53" t="s">
        <v>5293</v>
      </c>
      <c r="J121" s="53" t="s">
        <v>618</v>
      </c>
    </row>
    <row r="122" customFormat="false" ht="55.2" hidden="false" customHeight="false" outlineLevel="0" collapsed="false">
      <c r="A122" s="54" t="s">
        <v>5306</v>
      </c>
      <c r="B122" s="54" t="s">
        <v>5287</v>
      </c>
      <c r="C122" s="6" t="s">
        <v>5307</v>
      </c>
      <c r="D122" s="6" t="s">
        <v>5308</v>
      </c>
      <c r="E122" s="54" t="s">
        <v>2710</v>
      </c>
      <c r="F122" s="6" t="s">
        <v>5290</v>
      </c>
      <c r="G122" s="54" t="s">
        <v>5291</v>
      </c>
      <c r="H122" s="6" t="s">
        <v>5309</v>
      </c>
      <c r="I122" s="53" t="s">
        <v>5293</v>
      </c>
      <c r="J122" s="53" t="s">
        <v>618</v>
      </c>
    </row>
    <row r="123" customFormat="false" ht="55.2" hidden="false" customHeight="false" outlineLevel="0" collapsed="false">
      <c r="A123" s="54" t="s">
        <v>5310</v>
      </c>
      <c r="B123" s="54" t="s">
        <v>5287</v>
      </c>
      <c r="C123" s="6" t="s">
        <v>5311</v>
      </c>
      <c r="D123" s="6" t="s">
        <v>5312</v>
      </c>
      <c r="E123" s="54" t="s">
        <v>2710</v>
      </c>
      <c r="F123" s="6" t="s">
        <v>5290</v>
      </c>
      <c r="G123" s="54" t="s">
        <v>5291</v>
      </c>
      <c r="H123" s="6" t="s">
        <v>5313</v>
      </c>
      <c r="I123" s="53" t="s">
        <v>5293</v>
      </c>
      <c r="J123" s="53" t="s">
        <v>618</v>
      </c>
    </row>
    <row r="124" customFormat="false" ht="55.2" hidden="false" customHeight="false" outlineLevel="0" collapsed="false">
      <c r="A124" s="54" t="s">
        <v>5314</v>
      </c>
      <c r="B124" s="54" t="s">
        <v>5287</v>
      </c>
      <c r="C124" s="6" t="s">
        <v>5315</v>
      </c>
      <c r="D124" s="5" t="s">
        <v>5316</v>
      </c>
      <c r="E124" s="54" t="s">
        <v>2710</v>
      </c>
      <c r="F124" s="6" t="s">
        <v>5290</v>
      </c>
      <c r="G124" s="54" t="s">
        <v>5291</v>
      </c>
      <c r="H124" s="6" t="s">
        <v>5317</v>
      </c>
      <c r="I124" s="53" t="s">
        <v>5293</v>
      </c>
      <c r="J124" s="53" t="s">
        <v>618</v>
      </c>
    </row>
    <row r="125" customFormat="false" ht="55.2" hidden="false" customHeight="false" outlineLevel="0" collapsed="false">
      <c r="A125" s="54" t="s">
        <v>5318</v>
      </c>
      <c r="B125" s="54" t="s">
        <v>5287</v>
      </c>
      <c r="C125" s="6" t="s">
        <v>5319</v>
      </c>
      <c r="D125" s="5" t="s">
        <v>5320</v>
      </c>
      <c r="E125" s="54" t="s">
        <v>2710</v>
      </c>
      <c r="F125" s="6" t="s">
        <v>5290</v>
      </c>
      <c r="G125" s="54" t="s">
        <v>5291</v>
      </c>
      <c r="H125" s="6" t="s">
        <v>5321</v>
      </c>
      <c r="I125" s="53" t="s">
        <v>5293</v>
      </c>
      <c r="J125" s="53" t="s">
        <v>618</v>
      </c>
    </row>
    <row r="126" customFormat="false" ht="55.2" hidden="false" customHeight="false" outlineLevel="0" collapsed="false">
      <c r="A126" s="54" t="s">
        <v>5322</v>
      </c>
      <c r="B126" s="54" t="s">
        <v>5287</v>
      </c>
      <c r="C126" s="6" t="s">
        <v>5323</v>
      </c>
      <c r="D126" s="6" t="s">
        <v>5324</v>
      </c>
      <c r="E126" s="54" t="s">
        <v>2710</v>
      </c>
      <c r="F126" s="6" t="s">
        <v>5290</v>
      </c>
      <c r="G126" s="54" t="s">
        <v>5291</v>
      </c>
      <c r="H126" s="6" t="s">
        <v>5325</v>
      </c>
      <c r="I126" s="53" t="s">
        <v>5293</v>
      </c>
      <c r="J126" s="53" t="s">
        <v>618</v>
      </c>
    </row>
    <row r="127" customFormat="false" ht="55.2" hidden="false" customHeight="false" outlineLevel="0" collapsed="false">
      <c r="A127" s="54" t="s">
        <v>5326</v>
      </c>
      <c r="B127" s="54" t="s">
        <v>5287</v>
      </c>
      <c r="C127" s="6" t="s">
        <v>5327</v>
      </c>
      <c r="D127" s="5" t="s">
        <v>5328</v>
      </c>
      <c r="E127" s="54" t="s">
        <v>2710</v>
      </c>
      <c r="F127" s="6" t="s">
        <v>5290</v>
      </c>
      <c r="G127" s="54" t="s">
        <v>5291</v>
      </c>
      <c r="H127" s="5" t="s">
        <v>5329</v>
      </c>
      <c r="I127" s="53" t="s">
        <v>5293</v>
      </c>
      <c r="J127" s="53" t="s">
        <v>618</v>
      </c>
    </row>
    <row r="128" customFormat="false" ht="58.2" hidden="false" customHeight="false" outlineLevel="0" collapsed="false">
      <c r="A128" s="54" t="s">
        <v>5330</v>
      </c>
      <c r="B128" s="54" t="s">
        <v>5287</v>
      </c>
      <c r="C128" s="6" t="s">
        <v>5331</v>
      </c>
      <c r="D128" s="5" t="s">
        <v>5332</v>
      </c>
      <c r="E128" s="54" t="s">
        <v>2710</v>
      </c>
      <c r="F128" s="6" t="s">
        <v>5333</v>
      </c>
      <c r="G128" s="54" t="s">
        <v>5291</v>
      </c>
      <c r="H128" s="6" t="s">
        <v>5334</v>
      </c>
      <c r="I128" s="53" t="s">
        <v>5293</v>
      </c>
      <c r="J128" s="53" t="s">
        <v>618</v>
      </c>
    </row>
    <row r="129" customFormat="false" ht="44" hidden="false" customHeight="false" outlineLevel="0" collapsed="false">
      <c r="A129" s="54" t="s">
        <v>5335</v>
      </c>
      <c r="B129" s="54" t="s">
        <v>5287</v>
      </c>
      <c r="C129" s="6" t="s">
        <v>5336</v>
      </c>
      <c r="D129" s="6" t="s">
        <v>5337</v>
      </c>
      <c r="E129" s="54" t="s">
        <v>2710</v>
      </c>
      <c r="F129" s="6" t="s">
        <v>5333</v>
      </c>
      <c r="G129" s="54" t="s">
        <v>5291</v>
      </c>
      <c r="H129" s="6" t="s">
        <v>5338</v>
      </c>
      <c r="I129" s="53" t="s">
        <v>5293</v>
      </c>
      <c r="J129" s="53" t="s">
        <v>618</v>
      </c>
    </row>
    <row r="130" customFormat="false" ht="69.4" hidden="false" customHeight="false" outlineLevel="0" collapsed="false">
      <c r="A130" s="54" t="s">
        <v>4833</v>
      </c>
      <c r="B130" s="54" t="s">
        <v>5287</v>
      </c>
      <c r="C130" s="6" t="s">
        <v>5339</v>
      </c>
      <c r="D130" s="6" t="s">
        <v>5340</v>
      </c>
      <c r="E130" s="54" t="s">
        <v>2710</v>
      </c>
      <c r="F130" s="6" t="s">
        <v>5333</v>
      </c>
      <c r="G130" s="54" t="s">
        <v>5291</v>
      </c>
      <c r="H130" s="6" t="s">
        <v>5341</v>
      </c>
      <c r="I130" s="53" t="s">
        <v>5293</v>
      </c>
      <c r="J130" s="53" t="s">
        <v>618</v>
      </c>
    </row>
    <row r="131" customFormat="false" ht="55.2" hidden="false" customHeight="false" outlineLevel="0" collapsed="false">
      <c r="A131" s="54" t="s">
        <v>3968</v>
      </c>
      <c r="B131" s="54" t="s">
        <v>5287</v>
      </c>
      <c r="C131" s="6" t="s">
        <v>5342</v>
      </c>
      <c r="D131" s="6" t="s">
        <v>5343</v>
      </c>
      <c r="E131" s="54" t="s">
        <v>2710</v>
      </c>
      <c r="F131" s="6" t="s">
        <v>5290</v>
      </c>
      <c r="G131" s="54" t="s">
        <v>5291</v>
      </c>
      <c r="H131" s="6" t="s">
        <v>5344</v>
      </c>
      <c r="I131" s="53" t="s">
        <v>5345</v>
      </c>
      <c r="J131" s="53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3" t="s">
        <v>5346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5348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214" t="s">
        <v>5363</v>
      </c>
      <c r="Y4" s="214" t="s">
        <v>5364</v>
      </c>
      <c r="Z4" s="214" t="s">
        <v>5365</v>
      </c>
      <c r="AH4" s="76" t="s">
        <v>5366</v>
      </c>
    </row>
    <row r="5" customFormat="false" ht="29.25" hidden="false" customHeight="true" outlineLevel="0" collapsed="false">
      <c r="A5" s="36" t="s">
        <v>3371</v>
      </c>
      <c r="B5" s="6" t="s">
        <v>5367</v>
      </c>
      <c r="C5" s="217" t="n">
        <v>10.2</v>
      </c>
      <c r="D5" s="215"/>
      <c r="E5" s="215"/>
      <c r="F5" s="36" t="s">
        <v>5368</v>
      </c>
      <c r="G5" s="215" t="s">
        <v>5369</v>
      </c>
      <c r="H5" s="36" t="s">
        <v>5370</v>
      </c>
      <c r="I5" s="36" t="s">
        <v>5371</v>
      </c>
      <c r="J5" s="6" t="s">
        <v>5372</v>
      </c>
      <c r="K5" s="215" t="n">
        <v>1</v>
      </c>
      <c r="L5" s="215" t="s">
        <v>5373</v>
      </c>
      <c r="M5" s="6" t="s">
        <v>5374</v>
      </c>
      <c r="N5" s="215" t="s">
        <v>5375</v>
      </c>
      <c r="O5" s="36" t="s">
        <v>5376</v>
      </c>
      <c r="P5" s="36" t="s">
        <v>587</v>
      </c>
      <c r="Q5" s="36" t="s">
        <v>5377</v>
      </c>
      <c r="R5" s="36" t="s">
        <v>587</v>
      </c>
      <c r="S5" s="36" t="s">
        <v>5154</v>
      </c>
      <c r="T5" s="36" t="s">
        <v>587</v>
      </c>
      <c r="U5" s="36" t="s">
        <v>5150</v>
      </c>
      <c r="V5" s="6" t="s">
        <v>5378</v>
      </c>
      <c r="W5" s="6" t="s">
        <v>5379</v>
      </c>
      <c r="X5" s="186" t="n">
        <f aca="false">IF($O5="Active",SUMPRODUCT(($AH$5:$AH$118=$AH5)*1),0)</f>
        <v>1</v>
      </c>
      <c r="Y5" s="186" t="n">
        <f aca="false">IF(AND($O5="Active",OR($Q5="—",$Q5="")),1,0)</f>
        <v>0</v>
      </c>
      <c r="Z5" s="186" t="n">
        <f aca="false">IF(AND($O5="Active",$L5="利害關係方",OR($R5="—",$R5="")),1,0)</f>
        <v>1</v>
      </c>
      <c r="AH5" s="35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6" t="s">
        <v>5380</v>
      </c>
      <c r="B6" s="6" t="s">
        <v>5381</v>
      </c>
      <c r="C6" s="217" t="n">
        <v>30000</v>
      </c>
      <c r="D6" s="215"/>
      <c r="E6" s="215"/>
      <c r="F6" s="36" t="s">
        <v>96</v>
      </c>
      <c r="G6" s="215" t="s">
        <v>5382</v>
      </c>
      <c r="H6" s="36" t="s">
        <v>145</v>
      </c>
      <c r="I6" s="36" t="s">
        <v>5383</v>
      </c>
      <c r="J6" s="6" t="s">
        <v>5384</v>
      </c>
      <c r="K6" s="215" t="n">
        <v>3</v>
      </c>
      <c r="L6" s="215" t="s">
        <v>5373</v>
      </c>
      <c r="M6" s="6" t="s">
        <v>5385</v>
      </c>
      <c r="N6" s="215" t="s">
        <v>5386</v>
      </c>
      <c r="O6" s="36" t="s">
        <v>5376</v>
      </c>
      <c r="P6" s="36" t="s">
        <v>587</v>
      </c>
      <c r="Q6" s="36" t="s">
        <v>5387</v>
      </c>
      <c r="R6" s="36" t="s">
        <v>587</v>
      </c>
      <c r="S6" s="36" t="s">
        <v>587</v>
      </c>
      <c r="T6" s="36" t="s">
        <v>587</v>
      </c>
      <c r="U6" s="36" t="s">
        <v>5159</v>
      </c>
      <c r="V6" s="6" t="s">
        <v>587</v>
      </c>
      <c r="W6" s="6" t="s">
        <v>587</v>
      </c>
      <c r="X6" s="186" t="n">
        <f aca="false">IF($O6="Active",SUMPRODUCT(($AH$5:$AH$118=$AH6)*1),0)</f>
        <v>1</v>
      </c>
      <c r="Y6" s="186" t="n">
        <f aca="false">IF(AND($O6="Active",OR($Q6="—",$Q6="")),1,0)</f>
        <v>0</v>
      </c>
      <c r="Z6" s="186" t="n">
        <f aca="false">IF(AND($O6="Active",$L6="利害關係方",OR($R6="—",$R6="")),1,0)</f>
        <v>1</v>
      </c>
      <c r="AH6" s="35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6" t="s">
        <v>3401</v>
      </c>
      <c r="B7" s="6" t="s">
        <v>5388</v>
      </c>
      <c r="C7" s="215"/>
      <c r="D7" s="217" t="n">
        <v>220000</v>
      </c>
      <c r="E7" s="217" t="n">
        <v>320000</v>
      </c>
      <c r="F7" s="36" t="s">
        <v>5389</v>
      </c>
      <c r="G7" s="215" t="s">
        <v>5390</v>
      </c>
      <c r="H7" s="36" t="s">
        <v>145</v>
      </c>
      <c r="I7" s="36" t="s">
        <v>5383</v>
      </c>
      <c r="J7" s="6" t="s">
        <v>5384</v>
      </c>
      <c r="K7" s="215" t="n">
        <v>2</v>
      </c>
      <c r="L7" s="215" t="s">
        <v>5373</v>
      </c>
      <c r="M7" s="6" t="s">
        <v>5385</v>
      </c>
      <c r="N7" s="215" t="s">
        <v>5386</v>
      </c>
      <c r="O7" s="36" t="s">
        <v>5376</v>
      </c>
      <c r="P7" s="36" t="s">
        <v>587</v>
      </c>
      <c r="Q7" s="36" t="s">
        <v>5391</v>
      </c>
      <c r="R7" s="36" t="s">
        <v>587</v>
      </c>
      <c r="S7" s="36" t="s">
        <v>5154</v>
      </c>
      <c r="T7" s="36" t="s">
        <v>587</v>
      </c>
      <c r="U7" s="36" t="s">
        <v>5159</v>
      </c>
      <c r="V7" s="6" t="s">
        <v>5392</v>
      </c>
      <c r="W7" s="6" t="s">
        <v>5393</v>
      </c>
      <c r="X7" s="186" t="n">
        <f aca="false">IF($O7="Active",SUMPRODUCT(($AH$5:$AH$118=$AH7)*1),0)</f>
        <v>1</v>
      </c>
      <c r="Y7" s="186" t="n">
        <f aca="false">IF(AND($O7="Active",OR($Q7="—",$Q7="")),1,0)</f>
        <v>0</v>
      </c>
      <c r="Z7" s="186" t="n">
        <f aca="false">IF(AND($O7="Active",$L7="利害關係方",OR($R7="—",$R7="")),1,0)</f>
        <v>1</v>
      </c>
      <c r="AH7" s="35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6" t="s">
        <v>3359</v>
      </c>
      <c r="B8" s="6" t="s">
        <v>5394</v>
      </c>
      <c r="C8" s="215"/>
      <c r="D8" s="217" t="n">
        <v>120</v>
      </c>
      <c r="E8" s="217" t="n">
        <v>132</v>
      </c>
      <c r="F8" s="36" t="s">
        <v>5395</v>
      </c>
      <c r="G8" s="215" t="s">
        <v>5396</v>
      </c>
      <c r="H8" s="36" t="s">
        <v>146</v>
      </c>
      <c r="I8" s="36" t="s">
        <v>5397</v>
      </c>
      <c r="J8" s="6" t="s">
        <v>5398</v>
      </c>
      <c r="K8" s="215" t="n">
        <v>1</v>
      </c>
      <c r="L8" s="215" t="s">
        <v>5373</v>
      </c>
      <c r="M8" s="6" t="s">
        <v>5399</v>
      </c>
      <c r="N8" s="215" t="s">
        <v>5375</v>
      </c>
      <c r="O8" s="36" t="s">
        <v>5376</v>
      </c>
      <c r="P8" s="36" t="s">
        <v>587</v>
      </c>
      <c r="Q8" s="36" t="s">
        <v>5400</v>
      </c>
      <c r="R8" s="36" t="s">
        <v>587</v>
      </c>
      <c r="S8" s="36" t="s">
        <v>5154</v>
      </c>
      <c r="T8" s="36" t="s">
        <v>587</v>
      </c>
      <c r="U8" s="36" t="s">
        <v>5401</v>
      </c>
      <c r="V8" s="6" t="s">
        <v>5402</v>
      </c>
      <c r="W8" s="19" t="s">
        <v>5403</v>
      </c>
      <c r="X8" s="186" t="n">
        <f aca="false">IF($O8="Active",SUMPRODUCT(($AH$5:$AH$118=$AH8)*1),0)</f>
        <v>1</v>
      </c>
      <c r="Y8" s="186" t="n">
        <f aca="false">IF(AND($O8="Active",OR($Q8="—",$Q8="")),1,0)</f>
        <v>0</v>
      </c>
      <c r="Z8" s="186" t="n">
        <f aca="false">IF(AND($O8="Active",$L8="利害關係方",OR($R8="—",$R8="")),1,0)</f>
        <v>1</v>
      </c>
      <c r="AH8" s="35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6" t="s">
        <v>3361</v>
      </c>
      <c r="B9" s="6" t="s">
        <v>5404</v>
      </c>
      <c r="C9" s="215"/>
      <c r="D9" s="217" t="n">
        <v>132</v>
      </c>
      <c r="E9" s="217" t="n">
        <v>140</v>
      </c>
      <c r="F9" s="36" t="s">
        <v>5395</v>
      </c>
      <c r="G9" s="215" t="s">
        <v>5405</v>
      </c>
      <c r="H9" s="36" t="s">
        <v>147</v>
      </c>
      <c r="I9" s="36" t="s">
        <v>5397</v>
      </c>
      <c r="J9" s="6" t="s">
        <v>5406</v>
      </c>
      <c r="K9" s="215" t="n">
        <v>2</v>
      </c>
      <c r="L9" s="215" t="s">
        <v>5373</v>
      </c>
      <c r="M9" s="6" t="s">
        <v>5399</v>
      </c>
      <c r="N9" s="215" t="s">
        <v>5386</v>
      </c>
      <c r="O9" s="36" t="s">
        <v>5376</v>
      </c>
      <c r="P9" s="36" t="s">
        <v>587</v>
      </c>
      <c r="Q9" s="36" t="s">
        <v>5407</v>
      </c>
      <c r="R9" s="36" t="s">
        <v>587</v>
      </c>
      <c r="S9" s="36" t="s">
        <v>5154</v>
      </c>
      <c r="T9" s="36" t="s">
        <v>587</v>
      </c>
      <c r="U9" s="36" t="s">
        <v>5401</v>
      </c>
      <c r="V9" s="6" t="s">
        <v>5408</v>
      </c>
      <c r="W9" s="19" t="s">
        <v>5409</v>
      </c>
      <c r="X9" s="186" t="n">
        <f aca="false">IF($O9="Active",SUMPRODUCT(($AH$5:$AH$118=$AH9)*1),0)</f>
        <v>1</v>
      </c>
      <c r="Y9" s="186" t="n">
        <f aca="false">IF(AND($O9="Active",OR($Q9="—",$Q9="")),1,0)</f>
        <v>0</v>
      </c>
      <c r="Z9" s="186" t="n">
        <f aca="false">IF(AND($O9="Active",$L9="利害關係方",OR($R9="—",$R9="")),1,0)</f>
        <v>1</v>
      </c>
      <c r="AH9" s="35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6" t="s">
        <v>3405</v>
      </c>
      <c r="B10" s="6" t="s">
        <v>5410</v>
      </c>
      <c r="C10" s="215"/>
      <c r="D10" s="217" t="n">
        <v>2.8</v>
      </c>
      <c r="E10" s="217" t="n">
        <v>3.4</v>
      </c>
      <c r="F10" s="36" t="s">
        <v>5411</v>
      </c>
      <c r="G10" s="215" t="s">
        <v>5412</v>
      </c>
      <c r="H10" s="36" t="s">
        <v>146</v>
      </c>
      <c r="I10" s="36" t="s">
        <v>5413</v>
      </c>
      <c r="J10" s="6" t="s">
        <v>5414</v>
      </c>
      <c r="K10" s="215" t="n">
        <v>2</v>
      </c>
      <c r="L10" s="215" t="s">
        <v>5373</v>
      </c>
      <c r="M10" s="19" t="s">
        <v>5415</v>
      </c>
      <c r="N10" s="215" t="s">
        <v>5386</v>
      </c>
      <c r="O10" s="36" t="s">
        <v>5376</v>
      </c>
      <c r="P10" s="36" t="s">
        <v>587</v>
      </c>
      <c r="Q10" s="36" t="s">
        <v>5416</v>
      </c>
      <c r="R10" s="36" t="s">
        <v>587</v>
      </c>
      <c r="S10" s="36" t="s">
        <v>5154</v>
      </c>
      <c r="T10" s="36" t="s">
        <v>587</v>
      </c>
      <c r="U10" s="36" t="s">
        <v>5417</v>
      </c>
      <c r="V10" s="6" t="s">
        <v>5418</v>
      </c>
      <c r="W10" s="19" t="s">
        <v>5419</v>
      </c>
      <c r="X10" s="186" t="n">
        <f aca="false">IF($O10="Active",SUMPRODUCT(($AH$5:$AH$118=$AH10)*1),0)</f>
        <v>1</v>
      </c>
      <c r="Y10" s="186" t="n">
        <f aca="false">IF(AND($O10="Active",OR($Q10="—",$Q10="")),1,0)</f>
        <v>0</v>
      </c>
      <c r="Z10" s="186" t="n">
        <f aca="false">IF(AND($O10="Active",$L10="利害關係方",OR($R10="—",$R10="")),1,0)</f>
        <v>1</v>
      </c>
      <c r="AH10" s="35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6" t="s">
        <v>3443</v>
      </c>
      <c r="B11" s="6" t="s">
        <v>5420</v>
      </c>
      <c r="C11" s="215"/>
      <c r="D11" s="217" t="n">
        <v>6</v>
      </c>
      <c r="E11" s="217" t="n">
        <v>6.5</v>
      </c>
      <c r="F11" s="36" t="s">
        <v>5411</v>
      </c>
      <c r="G11" s="215" t="s">
        <v>5412</v>
      </c>
      <c r="H11" s="36" t="s">
        <v>147</v>
      </c>
      <c r="I11" s="36" t="s">
        <v>5413</v>
      </c>
      <c r="J11" s="6" t="s">
        <v>5414</v>
      </c>
      <c r="K11" s="215" t="n">
        <v>3</v>
      </c>
      <c r="L11" s="215" t="s">
        <v>5373</v>
      </c>
      <c r="M11" s="19" t="s">
        <v>5415</v>
      </c>
      <c r="N11" s="215" t="s">
        <v>5386</v>
      </c>
      <c r="O11" s="36" t="s">
        <v>5376</v>
      </c>
      <c r="P11" s="36" t="s">
        <v>587</v>
      </c>
      <c r="Q11" s="36" t="s">
        <v>5421</v>
      </c>
      <c r="R11" s="36" t="s">
        <v>587</v>
      </c>
      <c r="S11" s="36" t="s">
        <v>587</v>
      </c>
      <c r="T11" s="36" t="s">
        <v>587</v>
      </c>
      <c r="U11" s="36" t="s">
        <v>5417</v>
      </c>
      <c r="V11" s="6" t="s">
        <v>5422</v>
      </c>
      <c r="W11" s="6" t="s">
        <v>587</v>
      </c>
      <c r="X11" s="186" t="n">
        <f aca="false">IF($O11="Active",SUMPRODUCT(($AH$5:$AH$118=$AH11)*1),0)</f>
        <v>1</v>
      </c>
      <c r="Y11" s="186" t="n">
        <f aca="false">IF(AND($O11="Active",OR($Q11="—",$Q11="")),1,0)</f>
        <v>0</v>
      </c>
      <c r="Z11" s="186" t="n">
        <f aca="false">IF(AND($O11="Active",$L11="利害關係方",OR($R11="—",$R11="")),1,0)</f>
        <v>1</v>
      </c>
      <c r="AH11" s="35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6" t="s">
        <v>5423</v>
      </c>
      <c r="B12" s="6" t="s">
        <v>5424</v>
      </c>
      <c r="C12" s="215"/>
      <c r="D12" s="217" t="n">
        <v>5</v>
      </c>
      <c r="E12" s="217" t="n">
        <v>7</v>
      </c>
      <c r="F12" s="36" t="s">
        <v>5411</v>
      </c>
      <c r="G12" s="215" t="s">
        <v>5412</v>
      </c>
      <c r="H12" s="36" t="s">
        <v>148</v>
      </c>
      <c r="I12" s="36" t="s">
        <v>5413</v>
      </c>
      <c r="J12" s="6" t="s">
        <v>5414</v>
      </c>
      <c r="K12" s="215" t="n">
        <v>3</v>
      </c>
      <c r="L12" s="215" t="s">
        <v>5373</v>
      </c>
      <c r="M12" s="19" t="s">
        <v>5415</v>
      </c>
      <c r="N12" s="215" t="s">
        <v>5386</v>
      </c>
      <c r="O12" s="36" t="s">
        <v>5425</v>
      </c>
      <c r="P12" s="36" t="s">
        <v>587</v>
      </c>
      <c r="Q12" s="36" t="s">
        <v>5421</v>
      </c>
      <c r="R12" s="36" t="s">
        <v>587</v>
      </c>
      <c r="S12" s="36" t="s">
        <v>587</v>
      </c>
      <c r="T12" s="36" t="s">
        <v>587</v>
      </c>
      <c r="U12" s="36" t="s">
        <v>5417</v>
      </c>
      <c r="V12" s="6" t="s">
        <v>587</v>
      </c>
      <c r="W12" s="19" t="s">
        <v>5426</v>
      </c>
      <c r="X12" s="186" t="n">
        <f aca="false">IF($O12="Active",SUMPRODUCT(($AH$5:$AH$118=$AH12)*1),0)</f>
        <v>0</v>
      </c>
      <c r="Y12" s="186" t="n">
        <f aca="false">IF(AND($O12="Active",OR($Q12="—",$Q12="")),1,0)</f>
        <v>0</v>
      </c>
      <c r="Z12" s="186" t="n">
        <f aca="false">IF(AND($O12="Active",$L12="利害關係方",OR($R12="—",$R12="")),1,0)</f>
        <v>0</v>
      </c>
      <c r="AH12" s="35" t="str">
        <f aca="false">IF($O12="Active",$B12&amp;"¦"&amp;$G12&amp;"¦"&amp;$H12,"")</f>
        <v/>
      </c>
    </row>
    <row r="13" customFormat="false" ht="15" hidden="false" customHeight="true" outlineLevel="0" collapsed="false">
      <c r="A13" s="36" t="s">
        <v>5427</v>
      </c>
      <c r="B13" s="6" t="s">
        <v>5428</v>
      </c>
      <c r="C13" s="215"/>
      <c r="D13" s="217" t="n">
        <v>132</v>
      </c>
      <c r="E13" s="217" t="n">
        <v>140</v>
      </c>
      <c r="F13" s="36" t="s">
        <v>5395</v>
      </c>
      <c r="G13" s="215" t="s">
        <v>5429</v>
      </c>
      <c r="H13" s="36" t="s">
        <v>147</v>
      </c>
      <c r="I13" s="36" t="s">
        <v>1192</v>
      </c>
      <c r="J13" s="6" t="s">
        <v>5430</v>
      </c>
      <c r="K13" s="215" t="n">
        <v>3</v>
      </c>
      <c r="L13" s="215" t="s">
        <v>5373</v>
      </c>
      <c r="M13" s="6" t="s">
        <v>5431</v>
      </c>
      <c r="N13" s="215" t="s">
        <v>5386</v>
      </c>
      <c r="O13" s="36" t="s">
        <v>5376</v>
      </c>
      <c r="P13" s="36" t="s">
        <v>587</v>
      </c>
      <c r="Q13" s="36" t="s">
        <v>5432</v>
      </c>
      <c r="R13" s="36" t="s">
        <v>587</v>
      </c>
      <c r="S13" s="36" t="s">
        <v>587</v>
      </c>
      <c r="T13" s="36" t="s">
        <v>587</v>
      </c>
      <c r="U13" s="36" t="s">
        <v>5433</v>
      </c>
      <c r="V13" s="6" t="s">
        <v>5434</v>
      </c>
      <c r="W13" s="6" t="s">
        <v>587</v>
      </c>
      <c r="X13" s="186" t="n">
        <f aca="false">IF($O13="Active",SUMPRODUCT(($AH$5:$AH$118=$AH13)*1),0)</f>
        <v>1</v>
      </c>
      <c r="Y13" s="186" t="n">
        <f aca="false">IF(AND($O13="Active",OR($Q13="—",$Q13="")),1,0)</f>
        <v>0</v>
      </c>
      <c r="Z13" s="186" t="n">
        <f aca="false">IF(AND($O13="Active",$L13="利害關係方",OR($R13="—",$R13="")),1,0)</f>
        <v>1</v>
      </c>
      <c r="AH13" s="35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6" t="s">
        <v>3428</v>
      </c>
      <c r="B14" s="6" t="s">
        <v>5435</v>
      </c>
      <c r="C14" s="217" t="n">
        <v>5</v>
      </c>
      <c r="D14" s="215"/>
      <c r="E14" s="215"/>
      <c r="F14" s="36" t="s">
        <v>5411</v>
      </c>
      <c r="G14" s="215" t="s">
        <v>5436</v>
      </c>
      <c r="H14" s="36" t="s">
        <v>147</v>
      </c>
      <c r="I14" s="36" t="s">
        <v>1192</v>
      </c>
      <c r="J14" s="6" t="s">
        <v>5437</v>
      </c>
      <c r="K14" s="215" t="n">
        <v>2</v>
      </c>
      <c r="L14" s="215" t="s">
        <v>5373</v>
      </c>
      <c r="M14" s="19" t="s">
        <v>5438</v>
      </c>
      <c r="N14" s="215" t="s">
        <v>5386</v>
      </c>
      <c r="O14" s="36" t="s">
        <v>5376</v>
      </c>
      <c r="P14" s="36" t="s">
        <v>587</v>
      </c>
      <c r="Q14" s="36" t="s">
        <v>5439</v>
      </c>
      <c r="R14" s="36" t="s">
        <v>587</v>
      </c>
      <c r="S14" s="36" t="s">
        <v>5154</v>
      </c>
      <c r="T14" s="36" t="s">
        <v>587</v>
      </c>
      <c r="U14" s="36" t="s">
        <v>5440</v>
      </c>
      <c r="V14" s="6" t="s">
        <v>5441</v>
      </c>
      <c r="W14" s="6" t="s">
        <v>5442</v>
      </c>
      <c r="X14" s="186" t="n">
        <f aca="false">IF($O14="Active",SUMPRODUCT(($AH$5:$AH$118=$AH14)*1),0)</f>
        <v>1</v>
      </c>
      <c r="Y14" s="186" t="n">
        <f aca="false">IF(AND($O14="Active",OR($Q14="—",$Q14="")),1,0)</f>
        <v>0</v>
      </c>
      <c r="Z14" s="186" t="n">
        <f aca="false">IF(AND($O14="Active",$L14="利害關係方",OR($R14="—",$R14="")),1,0)</f>
        <v>1</v>
      </c>
      <c r="AH14" s="35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6" t="s">
        <v>3364</v>
      </c>
      <c r="B15" s="6" t="s">
        <v>5443</v>
      </c>
      <c r="C15" s="217" t="n">
        <v>188</v>
      </c>
      <c r="D15" s="215"/>
      <c r="E15" s="215"/>
      <c r="F15" s="36" t="s">
        <v>5395</v>
      </c>
      <c r="G15" s="215" t="s">
        <v>5444</v>
      </c>
      <c r="H15" s="36" t="s">
        <v>148</v>
      </c>
      <c r="I15" s="36" t="s">
        <v>5383</v>
      </c>
      <c r="J15" s="6" t="s">
        <v>5445</v>
      </c>
      <c r="K15" s="215" t="n">
        <v>1</v>
      </c>
      <c r="L15" s="215" t="s">
        <v>5373</v>
      </c>
      <c r="M15" s="19" t="s">
        <v>5446</v>
      </c>
      <c r="N15" s="215" t="s">
        <v>5375</v>
      </c>
      <c r="O15" s="36" t="s">
        <v>5376</v>
      </c>
      <c r="P15" s="36" t="s">
        <v>587</v>
      </c>
      <c r="Q15" s="36" t="s">
        <v>5447</v>
      </c>
      <c r="R15" s="36" t="s">
        <v>587</v>
      </c>
      <c r="S15" s="36" t="s">
        <v>5154</v>
      </c>
      <c r="T15" s="36" t="s">
        <v>587</v>
      </c>
      <c r="U15" s="36" t="s">
        <v>5448</v>
      </c>
      <c r="V15" s="6" t="s">
        <v>5449</v>
      </c>
      <c r="W15" s="6" t="s">
        <v>5450</v>
      </c>
      <c r="X15" s="186" t="n">
        <f aca="false">IF($O15="Active",SUMPRODUCT(($AH$5:$AH$118=$AH15)*1),0)</f>
        <v>1</v>
      </c>
      <c r="Y15" s="186" t="n">
        <f aca="false">IF(AND($O15="Active",OR($Q15="—",$Q15="")),1,0)</f>
        <v>0</v>
      </c>
      <c r="Z15" s="186" t="n">
        <f aca="false">IF(AND($O15="Active",$L15="利害關係方",OR($R15="—",$R15="")),1,0)</f>
        <v>1</v>
      </c>
      <c r="AH15" s="35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6" t="s">
        <v>3395</v>
      </c>
      <c r="B16" s="6" t="s">
        <v>5451</v>
      </c>
      <c r="C16" s="217" t="n">
        <v>230</v>
      </c>
      <c r="D16" s="215"/>
      <c r="E16" s="215"/>
      <c r="F16" s="36" t="s">
        <v>5395</v>
      </c>
      <c r="G16" s="215" t="s">
        <v>5452</v>
      </c>
      <c r="H16" s="36" t="s">
        <v>148</v>
      </c>
      <c r="I16" s="36" t="s">
        <v>5383</v>
      </c>
      <c r="J16" s="6" t="s">
        <v>5453</v>
      </c>
      <c r="K16" s="215" t="n">
        <v>3</v>
      </c>
      <c r="L16" s="215" t="s">
        <v>5373</v>
      </c>
      <c r="M16" s="19" t="s">
        <v>5446</v>
      </c>
      <c r="N16" s="215" t="s">
        <v>5386</v>
      </c>
      <c r="O16" s="36" t="s">
        <v>5376</v>
      </c>
      <c r="P16" s="36" t="s">
        <v>587</v>
      </c>
      <c r="Q16" s="36" t="s">
        <v>5454</v>
      </c>
      <c r="R16" s="36" t="s">
        <v>587</v>
      </c>
      <c r="S16" s="36" t="s">
        <v>587</v>
      </c>
      <c r="T16" s="36" t="s">
        <v>587</v>
      </c>
      <c r="U16" s="36" t="s">
        <v>5448</v>
      </c>
      <c r="V16" s="6" t="s">
        <v>5455</v>
      </c>
      <c r="W16" s="6" t="s">
        <v>3191</v>
      </c>
      <c r="X16" s="186" t="n">
        <f aca="false">IF($O16="Active",SUMPRODUCT(($AH$5:$AH$118=$AH16)*1),0)</f>
        <v>1</v>
      </c>
      <c r="Y16" s="186" t="n">
        <f aca="false">IF(AND($O16="Active",OR($Q16="—",$Q16="")),1,0)</f>
        <v>0</v>
      </c>
      <c r="Z16" s="186" t="n">
        <f aca="false">IF(AND($O16="Active",$L16="利害關係方",OR($R16="—",$R16="")),1,0)</f>
        <v>1</v>
      </c>
      <c r="AH16" s="35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6" t="s">
        <v>5456</v>
      </c>
      <c r="B17" s="6" t="s">
        <v>5457</v>
      </c>
      <c r="C17" s="217" t="n">
        <v>600</v>
      </c>
      <c r="D17" s="215"/>
      <c r="E17" s="215"/>
      <c r="F17" s="36" t="s">
        <v>5395</v>
      </c>
      <c r="G17" s="215" t="s">
        <v>5458</v>
      </c>
      <c r="H17" s="36" t="s">
        <v>5459</v>
      </c>
      <c r="I17" s="36" t="s">
        <v>5383</v>
      </c>
      <c r="J17" s="6" t="s">
        <v>5453</v>
      </c>
      <c r="K17" s="215" t="n">
        <v>3</v>
      </c>
      <c r="L17" s="215" t="s">
        <v>5373</v>
      </c>
      <c r="M17" s="19" t="s">
        <v>5446</v>
      </c>
      <c r="N17" s="215" t="s">
        <v>5386</v>
      </c>
      <c r="O17" s="36" t="s">
        <v>5460</v>
      </c>
      <c r="P17" s="36" t="s">
        <v>5461</v>
      </c>
      <c r="Q17" s="36" t="s">
        <v>5454</v>
      </c>
      <c r="R17" s="36" t="s">
        <v>587</v>
      </c>
      <c r="S17" s="36" t="s">
        <v>587</v>
      </c>
      <c r="T17" s="36" t="s">
        <v>587</v>
      </c>
      <c r="U17" s="36" t="s">
        <v>5448</v>
      </c>
      <c r="V17" s="6" t="s">
        <v>5462</v>
      </c>
      <c r="W17" s="19" t="s">
        <v>5463</v>
      </c>
      <c r="X17" s="186" t="n">
        <f aca="false">IF($O17="Active",SUMPRODUCT(($AH$5:$AH$118=$AH17)*1),0)</f>
        <v>0</v>
      </c>
      <c r="Y17" s="186" t="n">
        <f aca="false">IF(AND($O17="Active",OR($Q17="—",$Q17="")),1,0)</f>
        <v>0</v>
      </c>
      <c r="Z17" s="186" t="n">
        <f aca="false">IF(AND($O17="Active",$L17="利害關係方",OR($R17="—",$R17="")),1,0)</f>
        <v>0</v>
      </c>
      <c r="AH17" s="35" t="str">
        <f aca="false">IF($O17="Active",$B17&amp;"¦"&amp;$G17&amp;"¦"&amp;$H17,"")</f>
        <v/>
      </c>
    </row>
    <row r="18" customFormat="false" ht="15" hidden="false" customHeight="true" outlineLevel="0" collapsed="false">
      <c r="A18" s="36" t="s">
        <v>3382</v>
      </c>
      <c r="B18" s="6" t="s">
        <v>5464</v>
      </c>
      <c r="C18" s="217" t="n">
        <v>227</v>
      </c>
      <c r="D18" s="215"/>
      <c r="E18" s="215"/>
      <c r="F18" s="36" t="s">
        <v>5395</v>
      </c>
      <c r="G18" s="36" t="s">
        <v>5465</v>
      </c>
      <c r="H18" s="36" t="s">
        <v>148</v>
      </c>
      <c r="I18" s="36" t="s">
        <v>1189</v>
      </c>
      <c r="J18" s="6" t="s">
        <v>5466</v>
      </c>
      <c r="K18" s="215" t="n">
        <v>1</v>
      </c>
      <c r="L18" s="215" t="s">
        <v>5373</v>
      </c>
      <c r="M18" s="6" t="s">
        <v>5467</v>
      </c>
      <c r="N18" s="215" t="s">
        <v>5375</v>
      </c>
      <c r="O18" s="36" t="s">
        <v>5376</v>
      </c>
      <c r="P18" s="36" t="s">
        <v>587</v>
      </c>
      <c r="Q18" s="36" t="s">
        <v>5468</v>
      </c>
      <c r="R18" s="36" t="s">
        <v>5469</v>
      </c>
      <c r="S18" s="36" t="s">
        <v>5154</v>
      </c>
      <c r="T18" s="36" t="s">
        <v>587</v>
      </c>
      <c r="U18" s="36" t="s">
        <v>5470</v>
      </c>
      <c r="V18" s="6" t="s">
        <v>5471</v>
      </c>
      <c r="W18" s="6" t="s">
        <v>5472</v>
      </c>
      <c r="X18" s="186" t="n">
        <f aca="false">IF($O18="Active",SUMPRODUCT(($AH$5:$AH$118=$AH18)*1),0)</f>
        <v>1</v>
      </c>
      <c r="Y18" s="186" t="n">
        <f aca="false">IF(AND($O18="Active",OR($Q18="—",$Q18="")),1,0)</f>
        <v>0</v>
      </c>
      <c r="Z18" s="186" t="n">
        <f aca="false">IF(AND($O18="Active",$L18="利害關係方",OR($R18="—",$R18="")),1,0)</f>
        <v>0</v>
      </c>
      <c r="AH18" s="35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6" t="s">
        <v>3410</v>
      </c>
      <c r="B19" s="6" t="s">
        <v>5473</v>
      </c>
      <c r="C19" s="217" t="n">
        <v>7.8</v>
      </c>
      <c r="D19" s="215"/>
      <c r="E19" s="215"/>
      <c r="F19" s="36" t="s">
        <v>5411</v>
      </c>
      <c r="G19" s="215" t="s">
        <v>5474</v>
      </c>
      <c r="H19" s="36" t="s">
        <v>148</v>
      </c>
      <c r="I19" s="36" t="s">
        <v>5475</v>
      </c>
      <c r="J19" s="6" t="s">
        <v>5476</v>
      </c>
      <c r="K19" s="215" t="n">
        <v>2</v>
      </c>
      <c r="L19" s="215" t="s">
        <v>5477</v>
      </c>
      <c r="M19" s="6" t="s">
        <v>5478</v>
      </c>
      <c r="N19" s="215" t="s">
        <v>5386</v>
      </c>
      <c r="O19" s="36" t="s">
        <v>5376</v>
      </c>
      <c r="P19" s="36" t="s">
        <v>587</v>
      </c>
      <c r="Q19" s="36" t="s">
        <v>5479</v>
      </c>
      <c r="R19" s="36" t="s">
        <v>587</v>
      </c>
      <c r="S19" s="36" t="s">
        <v>5154</v>
      </c>
      <c r="T19" s="36" t="s">
        <v>587</v>
      </c>
      <c r="U19" s="36" t="s">
        <v>5480</v>
      </c>
      <c r="V19" s="6" t="s">
        <v>5481</v>
      </c>
      <c r="W19" s="6" t="s">
        <v>5482</v>
      </c>
      <c r="X19" s="186" t="n">
        <f aca="false">IF($O19="Active",SUMPRODUCT(($AH$5:$AH$118=$AH19)*1),0)</f>
        <v>1</v>
      </c>
      <c r="Y19" s="186" t="n">
        <f aca="false">IF(AND($O19="Active",OR($Q19="—",$Q19="")),1,0)</f>
        <v>0</v>
      </c>
      <c r="Z19" s="186" t="n">
        <f aca="false">IF(AND($O19="Active",$L19="利害關係方",OR($R19="—",$R19="")),1,0)</f>
        <v>0</v>
      </c>
      <c r="AH19" s="35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6" t="s">
        <v>5483</v>
      </c>
      <c r="B20" s="6" t="s">
        <v>5484</v>
      </c>
      <c r="C20" s="217" t="n">
        <v>6.7</v>
      </c>
      <c r="D20" s="215"/>
      <c r="E20" s="215"/>
      <c r="F20" s="36" t="s">
        <v>5411</v>
      </c>
      <c r="G20" s="215" t="s">
        <v>5485</v>
      </c>
      <c r="H20" s="36" t="s">
        <v>148</v>
      </c>
      <c r="I20" s="36" t="s">
        <v>5475</v>
      </c>
      <c r="J20" s="6" t="s">
        <v>5476</v>
      </c>
      <c r="K20" s="215" t="n">
        <v>3</v>
      </c>
      <c r="L20" s="215" t="s">
        <v>5477</v>
      </c>
      <c r="M20" s="6" t="s">
        <v>5486</v>
      </c>
      <c r="N20" s="215" t="s">
        <v>5386</v>
      </c>
      <c r="O20" s="36" t="s">
        <v>5425</v>
      </c>
      <c r="P20" s="36" t="s">
        <v>587</v>
      </c>
      <c r="Q20" s="36" t="s">
        <v>5487</v>
      </c>
      <c r="R20" s="36" t="s">
        <v>587</v>
      </c>
      <c r="S20" s="36" t="s">
        <v>587</v>
      </c>
      <c r="T20" s="36" t="s">
        <v>587</v>
      </c>
      <c r="U20" s="36" t="s">
        <v>5480</v>
      </c>
      <c r="V20" s="6" t="s">
        <v>5488</v>
      </c>
      <c r="W20" s="19" t="s">
        <v>5489</v>
      </c>
      <c r="X20" s="186" t="n">
        <f aca="false">IF($O20="Active",SUMPRODUCT(($AH$5:$AH$118=$AH20)*1),0)</f>
        <v>0</v>
      </c>
      <c r="Y20" s="186" t="n">
        <f aca="false">IF(AND($O20="Active",OR($Q20="—",$Q20="")),1,0)</f>
        <v>0</v>
      </c>
      <c r="Z20" s="186" t="n">
        <f aca="false">IF(AND($O20="Active",$L20="利害關係方",OR($R20="—",$R20="")),1,0)</f>
        <v>0</v>
      </c>
      <c r="AH20" s="35" t="str">
        <f aca="false">IF($O20="Active",$B20&amp;"¦"&amp;$G20&amp;"¦"&amp;$H20,"")</f>
        <v/>
      </c>
    </row>
    <row r="21" customFormat="false" ht="40.5" hidden="false" customHeight="true" outlineLevel="0" collapsed="false">
      <c r="A21" s="36" t="s">
        <v>3445</v>
      </c>
      <c r="B21" s="6" t="s">
        <v>5490</v>
      </c>
      <c r="C21" s="217" t="n">
        <v>9.09</v>
      </c>
      <c r="D21" s="215"/>
      <c r="E21" s="215"/>
      <c r="F21" s="36" t="s">
        <v>5411</v>
      </c>
      <c r="G21" s="215" t="s">
        <v>5474</v>
      </c>
      <c r="H21" s="36" t="s">
        <v>148</v>
      </c>
      <c r="I21" s="36" t="s">
        <v>5397</v>
      </c>
      <c r="J21" s="6" t="s">
        <v>5476</v>
      </c>
      <c r="K21" s="215" t="n">
        <v>3</v>
      </c>
      <c r="L21" s="215" t="s">
        <v>5477</v>
      </c>
      <c r="M21" s="6" t="s">
        <v>5486</v>
      </c>
      <c r="N21" s="215" t="s">
        <v>5386</v>
      </c>
      <c r="O21" s="36" t="s">
        <v>5425</v>
      </c>
      <c r="P21" s="36" t="s">
        <v>587</v>
      </c>
      <c r="Q21" s="36" t="s">
        <v>5487</v>
      </c>
      <c r="R21" s="36" t="s">
        <v>587</v>
      </c>
      <c r="S21" s="36" t="s">
        <v>587</v>
      </c>
      <c r="T21" s="36" t="s">
        <v>587</v>
      </c>
      <c r="U21" s="36" t="s">
        <v>5480</v>
      </c>
      <c r="V21" s="6" t="s">
        <v>5491</v>
      </c>
      <c r="W21" s="19" t="s">
        <v>5492</v>
      </c>
      <c r="X21" s="186" t="n">
        <f aca="false">IF($O21="Active",SUMPRODUCT(($AH$5:$AH$118=$AH21)*1),0)</f>
        <v>0</v>
      </c>
      <c r="Y21" s="186" t="n">
        <f aca="false">IF(AND($O21="Active",OR($Q21="—",$Q21="")),1,0)</f>
        <v>0</v>
      </c>
      <c r="Z21" s="186" t="n">
        <f aca="false">IF(AND($O21="Active",$L21="利害關係方",OR($R21="—",$R21="")),1,0)</f>
        <v>0</v>
      </c>
      <c r="AH21" s="35" t="str">
        <f aca="false">IF($O21="Active",$B21&amp;"¦"&amp;$G21&amp;"¦"&amp;$H21,"")</f>
        <v/>
      </c>
    </row>
    <row r="22" customFormat="false" ht="29.25" hidden="false" customHeight="true" outlineLevel="0" collapsed="false">
      <c r="A22" s="36" t="s">
        <v>5493</v>
      </c>
      <c r="B22" s="6" t="s">
        <v>5494</v>
      </c>
      <c r="C22" s="217" t="n">
        <v>1</v>
      </c>
      <c r="D22" s="215"/>
      <c r="E22" s="215"/>
      <c r="F22" s="36" t="s">
        <v>5411</v>
      </c>
      <c r="G22" s="215" t="s">
        <v>5458</v>
      </c>
      <c r="H22" s="36" t="s">
        <v>148</v>
      </c>
      <c r="I22" s="36" t="s">
        <v>5383</v>
      </c>
      <c r="J22" s="6" t="s">
        <v>5495</v>
      </c>
      <c r="K22" s="215" t="n">
        <v>3</v>
      </c>
      <c r="L22" s="215" t="s">
        <v>5373</v>
      </c>
      <c r="M22" s="6" t="s">
        <v>5496</v>
      </c>
      <c r="N22" s="215" t="s">
        <v>5386</v>
      </c>
      <c r="O22" s="36" t="s">
        <v>5425</v>
      </c>
      <c r="P22" s="36" t="s">
        <v>587</v>
      </c>
      <c r="Q22" s="36" t="s">
        <v>5497</v>
      </c>
      <c r="R22" s="36" t="s">
        <v>587</v>
      </c>
      <c r="S22" s="36" t="s">
        <v>587</v>
      </c>
      <c r="T22" s="36" t="s">
        <v>587</v>
      </c>
      <c r="U22" s="36" t="s">
        <v>5498</v>
      </c>
      <c r="V22" s="6" t="s">
        <v>587</v>
      </c>
      <c r="W22" s="19" t="s">
        <v>5499</v>
      </c>
      <c r="X22" s="186" t="n">
        <f aca="false">IF($O22="Active",SUMPRODUCT(($AH$5:$AH$118=$AH22)*1),0)</f>
        <v>0</v>
      </c>
      <c r="Y22" s="186" t="n">
        <f aca="false">IF(AND($O22="Active",OR($Q22="—",$Q22="")),1,0)</f>
        <v>0</v>
      </c>
      <c r="Z22" s="186" t="n">
        <f aca="false">IF(AND($O22="Active",$L22="利害關係方",OR($R22="—",$R22="")),1,0)</f>
        <v>0</v>
      </c>
      <c r="AH22" s="35" t="str">
        <f aca="false">IF($O22="Active",$B22&amp;"¦"&amp;$G22&amp;"¦"&amp;$H22,"")</f>
        <v/>
      </c>
    </row>
    <row r="23" customFormat="false" ht="29.25" hidden="false" customHeight="true" outlineLevel="0" collapsed="false">
      <c r="A23" s="36" t="s">
        <v>3620</v>
      </c>
      <c r="B23" s="6" t="s">
        <v>5500</v>
      </c>
      <c r="C23" s="217" t="n">
        <v>0.989</v>
      </c>
      <c r="D23" s="215"/>
      <c r="E23" s="215"/>
      <c r="F23" s="36" t="s">
        <v>443</v>
      </c>
      <c r="G23" s="36" t="s">
        <v>5501</v>
      </c>
      <c r="H23" s="36" t="s">
        <v>145</v>
      </c>
      <c r="I23" s="36" t="s">
        <v>5502</v>
      </c>
      <c r="J23" s="19" t="s">
        <v>5503</v>
      </c>
      <c r="K23" s="215" t="n">
        <v>3</v>
      </c>
      <c r="L23" s="215" t="s">
        <v>5373</v>
      </c>
      <c r="M23" s="6" t="s">
        <v>5504</v>
      </c>
      <c r="N23" s="215" t="s">
        <v>5505</v>
      </c>
      <c r="O23" s="36" t="s">
        <v>5376</v>
      </c>
      <c r="P23" s="36" t="s">
        <v>587</v>
      </c>
      <c r="Q23" s="36" t="s">
        <v>5506</v>
      </c>
      <c r="R23" s="36" t="s">
        <v>587</v>
      </c>
      <c r="S23" s="36" t="s">
        <v>587</v>
      </c>
      <c r="T23" s="36" t="s">
        <v>587</v>
      </c>
      <c r="U23" s="36" t="s">
        <v>5507</v>
      </c>
      <c r="V23" s="6" t="s">
        <v>5508</v>
      </c>
      <c r="W23" s="6" t="s">
        <v>5509</v>
      </c>
      <c r="X23" s="186" t="n">
        <f aca="false">IF($O23="Active",SUMPRODUCT(($AH$5:$AH$118=$AH23)*1),0)</f>
        <v>1</v>
      </c>
      <c r="Y23" s="186" t="n">
        <f aca="false">IF(AND($O23="Active",OR($Q23="—",$Q23="")),1,0)</f>
        <v>0</v>
      </c>
      <c r="Z23" s="186" t="n">
        <f aca="false">IF(AND($O23="Active",$L23="利害關係方",OR($R23="—",$R23="")),1,0)</f>
        <v>1</v>
      </c>
      <c r="AH23" s="35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6" t="s">
        <v>3486</v>
      </c>
      <c r="B24" s="6" t="s">
        <v>5510</v>
      </c>
      <c r="C24" s="217" t="n">
        <v>80</v>
      </c>
      <c r="D24" s="215"/>
      <c r="E24" s="215"/>
      <c r="F24" s="36" t="s">
        <v>696</v>
      </c>
      <c r="G24" s="36" t="s">
        <v>587</v>
      </c>
      <c r="H24" s="36" t="s">
        <v>145</v>
      </c>
      <c r="I24" s="36" t="s">
        <v>5502</v>
      </c>
      <c r="J24" s="19" t="s">
        <v>5503</v>
      </c>
      <c r="K24" s="215" t="n">
        <v>3</v>
      </c>
      <c r="L24" s="215" t="s">
        <v>5373</v>
      </c>
      <c r="M24" s="6" t="s">
        <v>5504</v>
      </c>
      <c r="N24" s="215" t="s">
        <v>5505</v>
      </c>
      <c r="O24" s="36" t="s">
        <v>5376</v>
      </c>
      <c r="P24" s="36" t="s">
        <v>587</v>
      </c>
      <c r="Q24" s="36" t="s">
        <v>5506</v>
      </c>
      <c r="R24" s="36" t="s">
        <v>587</v>
      </c>
      <c r="S24" s="36" t="s">
        <v>587</v>
      </c>
      <c r="T24" s="36" t="s">
        <v>587</v>
      </c>
      <c r="U24" s="36" t="s">
        <v>5507</v>
      </c>
      <c r="V24" s="6" t="s">
        <v>5511</v>
      </c>
      <c r="W24" s="6" t="s">
        <v>587</v>
      </c>
      <c r="X24" s="186" t="n">
        <f aca="false">IF($O24="Active",SUMPRODUCT(($AH$5:$AH$118=$AH24)*1),0)</f>
        <v>1</v>
      </c>
      <c r="Y24" s="186" t="n">
        <f aca="false">IF(AND($O24="Active",OR($Q24="—",$Q24="")),1,0)</f>
        <v>0</v>
      </c>
      <c r="Z24" s="186" t="n">
        <f aca="false">IF(AND($O24="Active",$L24="利害關係方",OR($R24="—",$R24="")),1,0)</f>
        <v>1</v>
      </c>
      <c r="AH24" s="35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6" t="s">
        <v>3502</v>
      </c>
      <c r="B25" s="6" t="s">
        <v>5512</v>
      </c>
      <c r="C25" s="217" t="n">
        <v>3.35</v>
      </c>
      <c r="D25" s="215"/>
      <c r="E25" s="215"/>
      <c r="F25" s="36" t="s">
        <v>327</v>
      </c>
      <c r="G25" s="36" t="s">
        <v>587</v>
      </c>
      <c r="H25" s="36" t="s">
        <v>145</v>
      </c>
      <c r="I25" s="36" t="s">
        <v>5502</v>
      </c>
      <c r="J25" s="19" t="s">
        <v>5503</v>
      </c>
      <c r="K25" s="215" t="n">
        <v>3</v>
      </c>
      <c r="L25" s="215" t="s">
        <v>5373</v>
      </c>
      <c r="M25" s="6" t="s">
        <v>5504</v>
      </c>
      <c r="N25" s="215" t="s">
        <v>5505</v>
      </c>
      <c r="O25" s="36" t="s">
        <v>5376</v>
      </c>
      <c r="P25" s="36" t="s">
        <v>587</v>
      </c>
      <c r="Q25" s="36" t="s">
        <v>5506</v>
      </c>
      <c r="R25" s="36" t="s">
        <v>587</v>
      </c>
      <c r="S25" s="36" t="s">
        <v>587</v>
      </c>
      <c r="T25" s="36" t="s">
        <v>587</v>
      </c>
      <c r="U25" s="36" t="s">
        <v>5507</v>
      </c>
      <c r="V25" s="6" t="s">
        <v>5513</v>
      </c>
      <c r="W25" s="6" t="s">
        <v>587</v>
      </c>
      <c r="X25" s="186" t="n">
        <f aca="false">IF($O25="Active",SUMPRODUCT(($AH$5:$AH$118=$AH25)*1),0)</f>
        <v>1</v>
      </c>
      <c r="Y25" s="186" t="n">
        <f aca="false">IF(AND($O25="Active",OR($Q25="—",$Q25="")),1,0)</f>
        <v>0</v>
      </c>
      <c r="Z25" s="186" t="n">
        <f aca="false">IF(AND($O25="Active",$L25="利害關係方",OR($R25="—",$R25="")),1,0)</f>
        <v>1</v>
      </c>
      <c r="AH25" s="35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6" t="s">
        <v>3456</v>
      </c>
      <c r="B26" s="6" t="s">
        <v>5514</v>
      </c>
      <c r="C26" s="217" t="n">
        <v>10</v>
      </c>
      <c r="D26" s="215"/>
      <c r="E26" s="215"/>
      <c r="F26" s="36" t="s">
        <v>443</v>
      </c>
      <c r="G26" s="36" t="s">
        <v>5501</v>
      </c>
      <c r="H26" s="36" t="s">
        <v>146</v>
      </c>
      <c r="I26" s="36" t="s">
        <v>5502</v>
      </c>
      <c r="J26" s="19" t="s">
        <v>5503</v>
      </c>
      <c r="K26" s="215" t="n">
        <v>1</v>
      </c>
      <c r="L26" s="215" t="s">
        <v>5373</v>
      </c>
      <c r="M26" s="6" t="s">
        <v>5504</v>
      </c>
      <c r="N26" s="215" t="s">
        <v>5375</v>
      </c>
      <c r="O26" s="36" t="s">
        <v>5376</v>
      </c>
      <c r="P26" s="36" t="s">
        <v>587</v>
      </c>
      <c r="Q26" s="36" t="s">
        <v>5515</v>
      </c>
      <c r="R26" s="36" t="s">
        <v>587</v>
      </c>
      <c r="S26" s="36" t="s">
        <v>5154</v>
      </c>
      <c r="T26" s="36" t="s">
        <v>587</v>
      </c>
      <c r="U26" s="36" t="s">
        <v>5507</v>
      </c>
      <c r="V26" s="6" t="s">
        <v>5516</v>
      </c>
      <c r="W26" s="19" t="s">
        <v>5517</v>
      </c>
      <c r="X26" s="186" t="n">
        <f aca="false">IF($O26="Active",SUMPRODUCT(($AH$5:$AH$118=$AH26)*1),0)</f>
        <v>1</v>
      </c>
      <c r="Y26" s="186" t="n">
        <f aca="false">IF(AND($O26="Active",OR($Q26="—",$Q26="")),1,0)</f>
        <v>0</v>
      </c>
      <c r="Z26" s="186" t="n">
        <f aca="false">IF(AND($O26="Active",$L26="利害關係方",OR($R26="—",$R26="")),1,0)</f>
        <v>1</v>
      </c>
      <c r="AH26" s="35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6" t="s">
        <v>3505</v>
      </c>
      <c r="B27" s="6" t="s">
        <v>5518</v>
      </c>
      <c r="C27" s="217" t="n">
        <v>8</v>
      </c>
      <c r="D27" s="215"/>
      <c r="E27" s="215"/>
      <c r="F27" s="36" t="s">
        <v>327</v>
      </c>
      <c r="G27" s="36" t="s">
        <v>587</v>
      </c>
      <c r="H27" s="36" t="s">
        <v>146</v>
      </c>
      <c r="I27" s="36" t="s">
        <v>5502</v>
      </c>
      <c r="J27" s="19" t="s">
        <v>5503</v>
      </c>
      <c r="K27" s="215" t="n">
        <v>3</v>
      </c>
      <c r="L27" s="215" t="s">
        <v>5373</v>
      </c>
      <c r="M27" s="6" t="s">
        <v>5504</v>
      </c>
      <c r="N27" s="215" t="s">
        <v>5505</v>
      </c>
      <c r="O27" s="36" t="s">
        <v>5376</v>
      </c>
      <c r="P27" s="36" t="s">
        <v>587</v>
      </c>
      <c r="Q27" s="36" t="s">
        <v>5506</v>
      </c>
      <c r="R27" s="36" t="s">
        <v>587</v>
      </c>
      <c r="S27" s="36" t="s">
        <v>587</v>
      </c>
      <c r="T27" s="36" t="s">
        <v>587</v>
      </c>
      <c r="U27" s="36" t="s">
        <v>5507</v>
      </c>
      <c r="V27" s="6" t="s">
        <v>5519</v>
      </c>
      <c r="W27" s="6" t="s">
        <v>587</v>
      </c>
      <c r="X27" s="186" t="n">
        <f aca="false">IF($O27="Active",SUMPRODUCT(($AH$5:$AH$118=$AH27)*1),0)</f>
        <v>1</v>
      </c>
      <c r="Y27" s="186" t="n">
        <f aca="false">IF(AND($O27="Active",OR($Q27="—",$Q27="")),1,0)</f>
        <v>0</v>
      </c>
      <c r="Z27" s="186" t="n">
        <f aca="false">IF(AND($O27="Active",$L27="利害關係方",OR($R27="—",$R27="")),1,0)</f>
        <v>1</v>
      </c>
      <c r="AH27" s="35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6" t="s">
        <v>5520</v>
      </c>
      <c r="B28" s="6" t="s">
        <v>5521</v>
      </c>
      <c r="C28" s="217" t="n">
        <v>186</v>
      </c>
      <c r="D28" s="215"/>
      <c r="E28" s="215"/>
      <c r="F28" s="36" t="s">
        <v>696</v>
      </c>
      <c r="G28" s="36" t="s">
        <v>587</v>
      </c>
      <c r="H28" s="36" t="s">
        <v>146</v>
      </c>
      <c r="I28" s="36" t="s">
        <v>5502</v>
      </c>
      <c r="J28" s="19" t="s">
        <v>5503</v>
      </c>
      <c r="K28" s="215" t="n">
        <v>3</v>
      </c>
      <c r="L28" s="215" t="s">
        <v>5373</v>
      </c>
      <c r="M28" s="6" t="s">
        <v>5504</v>
      </c>
      <c r="N28" s="215" t="s">
        <v>5505</v>
      </c>
      <c r="O28" s="36" t="s">
        <v>5425</v>
      </c>
      <c r="P28" s="36" t="s">
        <v>587</v>
      </c>
      <c r="Q28" s="36" t="s">
        <v>5506</v>
      </c>
      <c r="R28" s="36" t="s">
        <v>587</v>
      </c>
      <c r="S28" s="36" t="s">
        <v>587</v>
      </c>
      <c r="T28" s="36" t="s">
        <v>587</v>
      </c>
      <c r="U28" s="36" t="s">
        <v>5507</v>
      </c>
      <c r="V28" s="6" t="s">
        <v>587</v>
      </c>
      <c r="W28" s="19" t="s">
        <v>5522</v>
      </c>
      <c r="X28" s="186" t="n">
        <f aca="false">IF($O28="Active",SUMPRODUCT(($AH$5:$AH$118=$AH28)*1),0)</f>
        <v>0</v>
      </c>
      <c r="Y28" s="186" t="n">
        <f aca="false">IF(AND($O28="Active",OR($Q28="—",$Q28="")),1,0)</f>
        <v>0</v>
      </c>
      <c r="Z28" s="186" t="n">
        <f aca="false">IF(AND($O28="Active",$L28="利害關係方",OR($R28="—",$R28="")),1,0)</f>
        <v>0</v>
      </c>
      <c r="AH28" s="35" t="str">
        <f aca="false">IF($O28="Active",$B28&amp;"¦"&amp;$G28&amp;"¦"&amp;$H28,"")</f>
        <v/>
      </c>
    </row>
    <row r="29" customFormat="false" ht="29.25" hidden="false" customHeight="true" outlineLevel="0" collapsed="false">
      <c r="A29" s="36" t="s">
        <v>3458</v>
      </c>
      <c r="B29" s="6" t="s">
        <v>5523</v>
      </c>
      <c r="C29" s="217" t="n">
        <v>15</v>
      </c>
      <c r="D29" s="215"/>
      <c r="E29" s="215"/>
      <c r="F29" s="36" t="s">
        <v>443</v>
      </c>
      <c r="G29" s="36" t="s">
        <v>5501</v>
      </c>
      <c r="H29" s="36" t="s">
        <v>147</v>
      </c>
      <c r="I29" s="36" t="s">
        <v>5502</v>
      </c>
      <c r="J29" s="19" t="s">
        <v>5503</v>
      </c>
      <c r="K29" s="215" t="n">
        <v>1</v>
      </c>
      <c r="L29" s="215" t="s">
        <v>5373</v>
      </c>
      <c r="M29" s="6" t="s">
        <v>5504</v>
      </c>
      <c r="N29" s="215" t="s">
        <v>5375</v>
      </c>
      <c r="O29" s="36" t="s">
        <v>5376</v>
      </c>
      <c r="P29" s="36" t="s">
        <v>587</v>
      </c>
      <c r="Q29" s="36" t="s">
        <v>5524</v>
      </c>
      <c r="R29" s="36" t="s">
        <v>587</v>
      </c>
      <c r="S29" s="36" t="s">
        <v>5154</v>
      </c>
      <c r="T29" s="36" t="s">
        <v>587</v>
      </c>
      <c r="U29" s="36" t="s">
        <v>5507</v>
      </c>
      <c r="V29" s="6" t="s">
        <v>5525</v>
      </c>
      <c r="W29" s="6" t="s">
        <v>5526</v>
      </c>
      <c r="X29" s="186" t="n">
        <f aca="false">IF($O29="Active",SUMPRODUCT(($AH$5:$AH$118=$AH29)*1),0)</f>
        <v>1</v>
      </c>
      <c r="Y29" s="186" t="n">
        <f aca="false">IF(AND($O29="Active",OR($Q29="—",$Q29="")),1,0)</f>
        <v>0</v>
      </c>
      <c r="Z29" s="186" t="n">
        <f aca="false">IF(AND($O29="Active",$L29="利害關係方",OR($R29="—",$R29="")),1,0)</f>
        <v>1</v>
      </c>
      <c r="AH29" s="35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6" t="s">
        <v>3493</v>
      </c>
      <c r="B30" s="6" t="s">
        <v>5527</v>
      </c>
      <c r="C30" s="217" t="n">
        <v>288</v>
      </c>
      <c r="D30" s="215"/>
      <c r="E30" s="215"/>
      <c r="F30" s="36" t="s">
        <v>696</v>
      </c>
      <c r="G30" s="36" t="s">
        <v>587</v>
      </c>
      <c r="H30" s="36" t="s">
        <v>147</v>
      </c>
      <c r="I30" s="36" t="s">
        <v>5502</v>
      </c>
      <c r="J30" s="19" t="s">
        <v>5503</v>
      </c>
      <c r="K30" s="215" t="n">
        <v>3</v>
      </c>
      <c r="L30" s="215" t="s">
        <v>5373</v>
      </c>
      <c r="M30" s="6" t="s">
        <v>5504</v>
      </c>
      <c r="N30" s="215" t="s">
        <v>5505</v>
      </c>
      <c r="O30" s="36" t="s">
        <v>5376</v>
      </c>
      <c r="P30" s="36" t="s">
        <v>587</v>
      </c>
      <c r="Q30" s="36" t="s">
        <v>5506</v>
      </c>
      <c r="R30" s="36" t="s">
        <v>587</v>
      </c>
      <c r="S30" s="36" t="s">
        <v>587</v>
      </c>
      <c r="T30" s="36" t="s">
        <v>587</v>
      </c>
      <c r="U30" s="36" t="s">
        <v>5507</v>
      </c>
      <c r="V30" s="6" t="s">
        <v>5528</v>
      </c>
      <c r="W30" s="6" t="s">
        <v>587</v>
      </c>
      <c r="X30" s="186" t="n">
        <f aca="false">IF($O30="Active",SUMPRODUCT(($AH$5:$AH$118=$AH30)*1),0)</f>
        <v>1</v>
      </c>
      <c r="Y30" s="186" t="n">
        <f aca="false">IF(AND($O30="Active",OR($Q30="—",$Q30="")),1,0)</f>
        <v>0</v>
      </c>
      <c r="Z30" s="186" t="n">
        <f aca="false">IF(AND($O30="Active",$L30="利害關係方",OR($R30="—",$R30="")),1,0)</f>
        <v>1</v>
      </c>
      <c r="AH30" s="35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6" t="s">
        <v>3478</v>
      </c>
      <c r="B31" s="6" t="s">
        <v>5529</v>
      </c>
      <c r="C31" s="217" t="n">
        <v>50</v>
      </c>
      <c r="D31" s="215"/>
      <c r="E31" s="215"/>
      <c r="F31" s="36" t="s">
        <v>443</v>
      </c>
      <c r="G31" s="215" t="s">
        <v>5530</v>
      </c>
      <c r="H31" s="36" t="s">
        <v>148</v>
      </c>
      <c r="I31" s="36" t="s">
        <v>5502</v>
      </c>
      <c r="J31" s="19" t="s">
        <v>5503</v>
      </c>
      <c r="K31" s="215" t="n">
        <v>1</v>
      </c>
      <c r="L31" s="215" t="s">
        <v>5373</v>
      </c>
      <c r="M31" s="6" t="s">
        <v>5504</v>
      </c>
      <c r="N31" s="215" t="s">
        <v>5375</v>
      </c>
      <c r="O31" s="36" t="s">
        <v>5376</v>
      </c>
      <c r="P31" s="36" t="s">
        <v>587</v>
      </c>
      <c r="Q31" s="36" t="s">
        <v>5531</v>
      </c>
      <c r="R31" s="36" t="s">
        <v>587</v>
      </c>
      <c r="S31" s="36" t="s">
        <v>5154</v>
      </c>
      <c r="T31" s="36" t="s">
        <v>587</v>
      </c>
      <c r="U31" s="36" t="s">
        <v>5507</v>
      </c>
      <c r="V31" s="6" t="s">
        <v>5532</v>
      </c>
      <c r="W31" s="6" t="s">
        <v>5533</v>
      </c>
      <c r="X31" s="186" t="n">
        <f aca="false">IF($O31="Active",SUMPRODUCT(($AH$5:$AH$118=$AH31)*1),0)</f>
        <v>1</v>
      </c>
      <c r="Y31" s="186" t="n">
        <f aca="false">IF(AND($O31="Active",OR($Q31="—",$Q31="")),1,0)</f>
        <v>0</v>
      </c>
      <c r="Z31" s="186" t="n">
        <f aca="false">IF(AND($O31="Active",$L31="利害關係方",OR($R31="—",$R31="")),1,0)</f>
        <v>1</v>
      </c>
      <c r="AH31" s="35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6" t="s">
        <v>3460</v>
      </c>
      <c r="B32" s="6" t="s">
        <v>5534</v>
      </c>
      <c r="C32" s="217" t="n">
        <v>35</v>
      </c>
      <c r="D32" s="215"/>
      <c r="E32" s="215"/>
      <c r="F32" s="36" t="s">
        <v>443</v>
      </c>
      <c r="G32" s="36" t="s">
        <v>5501</v>
      </c>
      <c r="H32" s="36" t="s">
        <v>148</v>
      </c>
      <c r="I32" s="36" t="s">
        <v>5502</v>
      </c>
      <c r="J32" s="19" t="s">
        <v>5503</v>
      </c>
      <c r="K32" s="215" t="n">
        <v>1</v>
      </c>
      <c r="L32" s="215" t="s">
        <v>5373</v>
      </c>
      <c r="M32" s="6" t="s">
        <v>5504</v>
      </c>
      <c r="N32" s="215" t="s">
        <v>5375</v>
      </c>
      <c r="O32" s="36" t="s">
        <v>5376</v>
      </c>
      <c r="P32" s="36" t="s">
        <v>587</v>
      </c>
      <c r="Q32" s="36" t="s">
        <v>5535</v>
      </c>
      <c r="R32" s="36" t="s">
        <v>587</v>
      </c>
      <c r="S32" s="36" t="s">
        <v>5154</v>
      </c>
      <c r="T32" s="36" t="s">
        <v>587</v>
      </c>
      <c r="U32" s="36" t="s">
        <v>5507</v>
      </c>
      <c r="V32" s="6" t="s">
        <v>5536</v>
      </c>
      <c r="W32" s="19" t="s">
        <v>5537</v>
      </c>
      <c r="X32" s="186" t="n">
        <f aca="false">IF($O32="Active",SUMPRODUCT(($AH$5:$AH$118=$AH32)*1),0)</f>
        <v>1</v>
      </c>
      <c r="Y32" s="186" t="n">
        <f aca="false">IF(AND($O32="Active",OR($Q32="—",$Q32="")),1,0)</f>
        <v>0</v>
      </c>
      <c r="Z32" s="186" t="n">
        <f aca="false">IF(AND($O32="Active",$L32="利害關係方",OR($R32="—",$R32="")),1,0)</f>
        <v>1</v>
      </c>
      <c r="AH32" s="35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6" t="s">
        <v>3496</v>
      </c>
      <c r="B33" s="6" t="s">
        <v>5538</v>
      </c>
      <c r="C33" s="217" t="n">
        <v>288</v>
      </c>
      <c r="D33" s="215"/>
      <c r="E33" s="215"/>
      <c r="F33" s="36" t="s">
        <v>696</v>
      </c>
      <c r="G33" s="36" t="s">
        <v>587</v>
      </c>
      <c r="H33" s="36" t="s">
        <v>148</v>
      </c>
      <c r="I33" s="36" t="s">
        <v>5502</v>
      </c>
      <c r="J33" s="19" t="s">
        <v>5503</v>
      </c>
      <c r="K33" s="215" t="n">
        <v>3</v>
      </c>
      <c r="L33" s="215" t="s">
        <v>5373</v>
      </c>
      <c r="M33" s="6" t="s">
        <v>5504</v>
      </c>
      <c r="N33" s="215" t="s">
        <v>5505</v>
      </c>
      <c r="O33" s="36" t="s">
        <v>5376</v>
      </c>
      <c r="P33" s="36" t="s">
        <v>587</v>
      </c>
      <c r="Q33" s="36" t="s">
        <v>5506</v>
      </c>
      <c r="R33" s="36" t="s">
        <v>587</v>
      </c>
      <c r="S33" s="36" t="s">
        <v>587</v>
      </c>
      <c r="T33" s="36" t="s">
        <v>587</v>
      </c>
      <c r="U33" s="36" t="s">
        <v>5507</v>
      </c>
      <c r="V33" s="6" t="s">
        <v>5539</v>
      </c>
      <c r="W33" s="6" t="s">
        <v>587</v>
      </c>
      <c r="X33" s="186" t="n">
        <f aca="false">IF($O33="Active",SUMPRODUCT(($AH$5:$AH$118=$AH33)*1),0)</f>
        <v>1</v>
      </c>
      <c r="Y33" s="186" t="n">
        <f aca="false">IF(AND($O33="Active",OR($Q33="—",$Q33="")),1,0)</f>
        <v>0</v>
      </c>
      <c r="Z33" s="186" t="n">
        <f aca="false">IF(AND($O33="Active",$L33="利害關係方",OR($R33="—",$R33="")),1,0)</f>
        <v>1</v>
      </c>
      <c r="AH33" s="35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6" t="s">
        <v>3510</v>
      </c>
      <c r="B34" s="6" t="s">
        <v>5540</v>
      </c>
      <c r="C34" s="217" t="n">
        <v>22</v>
      </c>
      <c r="D34" s="215"/>
      <c r="E34" s="215"/>
      <c r="F34" s="36" t="s">
        <v>327</v>
      </c>
      <c r="G34" s="36" t="s">
        <v>5541</v>
      </c>
      <c r="H34" s="36" t="s">
        <v>148</v>
      </c>
      <c r="I34" s="36" t="s">
        <v>5502</v>
      </c>
      <c r="J34" s="19" t="s">
        <v>5503</v>
      </c>
      <c r="K34" s="215" t="n">
        <v>3</v>
      </c>
      <c r="L34" s="215" t="s">
        <v>5373</v>
      </c>
      <c r="M34" s="6" t="s">
        <v>5504</v>
      </c>
      <c r="N34" s="215" t="s">
        <v>5505</v>
      </c>
      <c r="O34" s="36" t="s">
        <v>5376</v>
      </c>
      <c r="P34" s="36" t="s">
        <v>587</v>
      </c>
      <c r="Q34" s="36" t="s">
        <v>5506</v>
      </c>
      <c r="R34" s="36" t="s">
        <v>587</v>
      </c>
      <c r="S34" s="36" t="s">
        <v>587</v>
      </c>
      <c r="T34" s="36" t="s">
        <v>587</v>
      </c>
      <c r="U34" s="36" t="s">
        <v>5507</v>
      </c>
      <c r="V34" s="6" t="s">
        <v>5542</v>
      </c>
      <c r="W34" s="6" t="s">
        <v>587</v>
      </c>
      <c r="X34" s="186" t="n">
        <f aca="false">IF($O34="Active",SUMPRODUCT(($AH$5:$AH$118=$AH34)*1),0)</f>
        <v>1</v>
      </c>
      <c r="Y34" s="186" t="n">
        <f aca="false">IF(AND($O34="Active",OR($Q34="—",$Q34="")),1,0)</f>
        <v>0</v>
      </c>
      <c r="Z34" s="186" t="n">
        <f aca="false">IF(AND($O34="Active",$L34="利害關係方",OR($R34="—",$R34="")),1,0)</f>
        <v>1</v>
      </c>
      <c r="AH34" s="35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6" t="s">
        <v>5543</v>
      </c>
      <c r="B35" s="6" t="s">
        <v>5544</v>
      </c>
      <c r="C35" s="217" t="n">
        <v>15000</v>
      </c>
      <c r="D35" s="215"/>
      <c r="E35" s="215"/>
      <c r="F35" s="36" t="s">
        <v>5545</v>
      </c>
      <c r="G35" s="36" t="s">
        <v>5546</v>
      </c>
      <c r="H35" s="36" t="s">
        <v>5459</v>
      </c>
      <c r="I35" s="36" t="s">
        <v>5502</v>
      </c>
      <c r="J35" s="19" t="s">
        <v>5503</v>
      </c>
      <c r="K35" s="215" t="n">
        <v>3</v>
      </c>
      <c r="L35" s="215" t="s">
        <v>5373</v>
      </c>
      <c r="M35" s="6" t="s">
        <v>5504</v>
      </c>
      <c r="N35" s="215" t="s">
        <v>5505</v>
      </c>
      <c r="O35" s="36" t="s">
        <v>5376</v>
      </c>
      <c r="P35" s="36" t="s">
        <v>587</v>
      </c>
      <c r="Q35" s="36" t="s">
        <v>5506</v>
      </c>
      <c r="R35" s="36" t="s">
        <v>587</v>
      </c>
      <c r="S35" s="36" t="s">
        <v>587</v>
      </c>
      <c r="T35" s="36" t="s">
        <v>587</v>
      </c>
      <c r="U35" s="36" t="s">
        <v>5507</v>
      </c>
      <c r="V35" s="6" t="s">
        <v>5547</v>
      </c>
      <c r="W35" s="6" t="s">
        <v>5548</v>
      </c>
      <c r="X35" s="186" t="n">
        <f aca="false">IF($O35="Active",SUMPRODUCT(($AH$5:$AH$118=$AH35)*1),0)</f>
        <v>1</v>
      </c>
      <c r="Y35" s="186" t="n">
        <f aca="false">IF(AND($O35="Active",OR($Q35="—",$Q35="")),1,0)</f>
        <v>0</v>
      </c>
      <c r="Z35" s="186" t="n">
        <f aca="false">IF(AND($O35="Active",$L35="利害關係方",OR($R35="—",$R35="")),1,0)</f>
        <v>1</v>
      </c>
      <c r="AH35" s="35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6" t="s">
        <v>3608</v>
      </c>
      <c r="B36" s="6" t="s">
        <v>5549</v>
      </c>
      <c r="C36" s="217" t="n">
        <v>3.9</v>
      </c>
      <c r="D36" s="215"/>
      <c r="E36" s="215"/>
      <c r="F36" s="36" t="s">
        <v>5550</v>
      </c>
      <c r="G36" s="215" t="s">
        <v>5551</v>
      </c>
      <c r="H36" s="36" t="s">
        <v>5552</v>
      </c>
      <c r="I36" s="36" t="s">
        <v>587</v>
      </c>
      <c r="J36" s="19" t="s">
        <v>5553</v>
      </c>
      <c r="K36" s="215" t="n">
        <v>3</v>
      </c>
      <c r="L36" s="215" t="s">
        <v>5477</v>
      </c>
      <c r="M36" s="19" t="s">
        <v>5554</v>
      </c>
      <c r="N36" s="36" t="s">
        <v>587</v>
      </c>
      <c r="O36" s="36" t="s">
        <v>5376</v>
      </c>
      <c r="P36" s="36" t="s">
        <v>587</v>
      </c>
      <c r="Q36" s="36" t="s">
        <v>5555</v>
      </c>
      <c r="R36" s="36" t="s">
        <v>587</v>
      </c>
      <c r="S36" s="36" t="s">
        <v>587</v>
      </c>
      <c r="T36" s="36" t="s">
        <v>587</v>
      </c>
      <c r="U36" s="36" t="s">
        <v>5556</v>
      </c>
      <c r="V36" s="6" t="s">
        <v>5557</v>
      </c>
      <c r="W36" s="6" t="s">
        <v>5558</v>
      </c>
      <c r="X36" s="186" t="n">
        <f aca="false">IF($O36="Active",SUMPRODUCT(($AH$5:$AH$118=$AH36)*1),0)</f>
        <v>1</v>
      </c>
      <c r="Y36" s="186" t="n">
        <f aca="false">IF(AND($O36="Active",OR($Q36="—",$Q36="")),1,0)</f>
        <v>0</v>
      </c>
      <c r="Z36" s="186" t="n">
        <f aca="false">IF(AND($O36="Active",$L36="利害關係方",OR($R36="—",$R36="")),1,0)</f>
        <v>0</v>
      </c>
      <c r="AH36" s="35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6" t="s">
        <v>3612</v>
      </c>
      <c r="B37" s="6" t="s">
        <v>5559</v>
      </c>
      <c r="C37" s="217" t="n">
        <v>3</v>
      </c>
      <c r="D37" s="215"/>
      <c r="E37" s="215"/>
      <c r="F37" s="36" t="s">
        <v>5550</v>
      </c>
      <c r="G37" s="215" t="s">
        <v>5551</v>
      </c>
      <c r="H37" s="36" t="s">
        <v>5560</v>
      </c>
      <c r="I37" s="36" t="s">
        <v>587</v>
      </c>
      <c r="J37" s="19" t="s">
        <v>5553</v>
      </c>
      <c r="K37" s="215" t="n">
        <v>3</v>
      </c>
      <c r="L37" s="215" t="s">
        <v>5477</v>
      </c>
      <c r="M37" s="19" t="s">
        <v>5554</v>
      </c>
      <c r="N37" s="36" t="s">
        <v>587</v>
      </c>
      <c r="O37" s="36" t="s">
        <v>5376</v>
      </c>
      <c r="P37" s="36" t="s">
        <v>587</v>
      </c>
      <c r="Q37" s="36" t="s">
        <v>5555</v>
      </c>
      <c r="R37" s="36" t="s">
        <v>587</v>
      </c>
      <c r="S37" s="36" t="s">
        <v>587</v>
      </c>
      <c r="T37" s="36" t="s">
        <v>587</v>
      </c>
      <c r="U37" s="36" t="s">
        <v>5556</v>
      </c>
      <c r="V37" s="6" t="s">
        <v>5561</v>
      </c>
      <c r="W37" s="6" t="s">
        <v>5562</v>
      </c>
      <c r="X37" s="186" t="n">
        <f aca="false">IF($O37="Active",SUMPRODUCT(($AH$5:$AH$118=$AH37)*1),0)</f>
        <v>1</v>
      </c>
      <c r="Y37" s="186" t="n">
        <f aca="false">IF(AND($O37="Active",OR($Q37="—",$Q37="")),1,0)</f>
        <v>0</v>
      </c>
      <c r="Z37" s="186" t="n">
        <f aca="false">IF(AND($O37="Active",$L37="利害關係方",OR($R37="—",$R37="")),1,0)</f>
        <v>0</v>
      </c>
      <c r="AH37" s="35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6" t="s">
        <v>3615</v>
      </c>
      <c r="B38" s="6" t="s">
        <v>5563</v>
      </c>
      <c r="C38" s="217" t="n">
        <v>2.5</v>
      </c>
      <c r="D38" s="215"/>
      <c r="E38" s="215"/>
      <c r="F38" s="36" t="s">
        <v>5550</v>
      </c>
      <c r="G38" s="215" t="s">
        <v>5551</v>
      </c>
      <c r="H38" s="36" t="s">
        <v>5564</v>
      </c>
      <c r="I38" s="36" t="s">
        <v>587</v>
      </c>
      <c r="J38" s="19" t="s">
        <v>5553</v>
      </c>
      <c r="K38" s="215" t="n">
        <v>3</v>
      </c>
      <c r="L38" s="215" t="s">
        <v>5477</v>
      </c>
      <c r="M38" s="19" t="s">
        <v>5554</v>
      </c>
      <c r="N38" s="36" t="s">
        <v>587</v>
      </c>
      <c r="O38" s="36" t="s">
        <v>5376</v>
      </c>
      <c r="P38" s="36" t="s">
        <v>587</v>
      </c>
      <c r="Q38" s="36" t="s">
        <v>5555</v>
      </c>
      <c r="R38" s="36" t="s">
        <v>587</v>
      </c>
      <c r="S38" s="36" t="s">
        <v>587</v>
      </c>
      <c r="T38" s="36" t="s">
        <v>587</v>
      </c>
      <c r="U38" s="36" t="s">
        <v>5556</v>
      </c>
      <c r="V38" s="6" t="s">
        <v>5565</v>
      </c>
      <c r="W38" s="6" t="s">
        <v>5566</v>
      </c>
      <c r="X38" s="186" t="n">
        <f aca="false">IF($O38="Active",SUMPRODUCT(($AH$5:$AH$118=$AH38)*1),0)</f>
        <v>1</v>
      </c>
      <c r="Y38" s="186" t="n">
        <f aca="false">IF(AND($O38="Active",OR($Q38="—",$Q38="")),1,0)</f>
        <v>0</v>
      </c>
      <c r="Z38" s="186" t="n">
        <f aca="false">IF(AND($O38="Active",$L38="利害關係方",OR($R38="—",$R38="")),1,0)</f>
        <v>0</v>
      </c>
      <c r="AH38" s="35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6" t="s">
        <v>4125</v>
      </c>
      <c r="B39" s="6" t="s">
        <v>5567</v>
      </c>
      <c r="C39" s="215"/>
      <c r="D39" s="217" t="n">
        <v>1</v>
      </c>
      <c r="E39" s="217" t="n">
        <v>2</v>
      </c>
      <c r="F39" s="36" t="s">
        <v>5550</v>
      </c>
      <c r="G39" s="215" t="s">
        <v>5551</v>
      </c>
      <c r="H39" s="36" t="s">
        <v>587</v>
      </c>
      <c r="I39" s="36" t="s">
        <v>587</v>
      </c>
      <c r="J39" s="19" t="s">
        <v>5553</v>
      </c>
      <c r="K39" s="215" t="n">
        <v>3</v>
      </c>
      <c r="L39" s="215" t="s">
        <v>5477</v>
      </c>
      <c r="M39" s="19" t="s">
        <v>5554</v>
      </c>
      <c r="N39" s="36" t="s">
        <v>587</v>
      </c>
      <c r="O39" s="36" t="s">
        <v>5376</v>
      </c>
      <c r="P39" s="36" t="s">
        <v>587</v>
      </c>
      <c r="Q39" s="36" t="s">
        <v>5555</v>
      </c>
      <c r="R39" s="36" t="s">
        <v>587</v>
      </c>
      <c r="S39" s="36" t="s">
        <v>587</v>
      </c>
      <c r="T39" s="36" t="s">
        <v>587</v>
      </c>
      <c r="U39" s="36" t="s">
        <v>5556</v>
      </c>
      <c r="V39" s="6" t="s">
        <v>587</v>
      </c>
      <c r="W39" s="6" t="s">
        <v>587</v>
      </c>
      <c r="X39" s="186" t="n">
        <f aca="false">IF($O39="Active",SUMPRODUCT(($AH$5:$AH$118=$AH39)*1),0)</f>
        <v>1</v>
      </c>
      <c r="Y39" s="186" t="n">
        <f aca="false">IF(AND($O39="Active",OR($Q39="—",$Q39="")),1,0)</f>
        <v>0</v>
      </c>
      <c r="Z39" s="186" t="n">
        <f aca="false">IF(AND($O39="Active",$L39="利害關係方",OR($R39="—",$R39="")),1,0)</f>
        <v>0</v>
      </c>
      <c r="AH39" s="35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6" t="s">
        <v>5568</v>
      </c>
      <c r="B40" s="6" t="s">
        <v>5569</v>
      </c>
      <c r="C40" s="217" t="n">
        <v>3600</v>
      </c>
      <c r="D40" s="215"/>
      <c r="E40" s="215"/>
      <c r="F40" s="36" t="s">
        <v>5545</v>
      </c>
      <c r="G40" s="36" t="s">
        <v>5570</v>
      </c>
      <c r="H40" s="36" t="s">
        <v>148</v>
      </c>
      <c r="I40" s="36" t="s">
        <v>5383</v>
      </c>
      <c r="J40" s="6" t="s">
        <v>5571</v>
      </c>
      <c r="K40" s="215" t="n">
        <v>2</v>
      </c>
      <c r="L40" s="215" t="s">
        <v>5373</v>
      </c>
      <c r="M40" s="6" t="s">
        <v>5572</v>
      </c>
      <c r="N40" s="215" t="s">
        <v>5573</v>
      </c>
      <c r="O40" s="36" t="s">
        <v>5376</v>
      </c>
      <c r="P40" s="36" t="s">
        <v>587</v>
      </c>
      <c r="Q40" s="36" t="s">
        <v>5574</v>
      </c>
      <c r="R40" s="36" t="s">
        <v>587</v>
      </c>
      <c r="S40" s="36" t="s">
        <v>587</v>
      </c>
      <c r="T40" s="36" t="s">
        <v>587</v>
      </c>
      <c r="U40" s="36" t="s">
        <v>5575</v>
      </c>
      <c r="V40" s="6" t="s">
        <v>5576</v>
      </c>
      <c r="W40" s="6" t="s">
        <v>5577</v>
      </c>
      <c r="X40" s="186" t="n">
        <f aca="false">IF($O40="Active",SUMPRODUCT(($AH$5:$AH$118=$AH40)*1),0)</f>
        <v>1</v>
      </c>
      <c r="Y40" s="186" t="n">
        <f aca="false">IF(AND($O40="Active",OR($Q40="—",$Q40="")),1,0)</f>
        <v>0</v>
      </c>
      <c r="Z40" s="186" t="n">
        <f aca="false">IF(AND($O40="Active",$L40="利害關係方",OR($R40="—",$R40="")),1,0)</f>
        <v>1</v>
      </c>
      <c r="AH40" s="35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6" t="s">
        <v>3650</v>
      </c>
      <c r="B41" s="6" t="s">
        <v>5578</v>
      </c>
      <c r="C41" s="217" t="n">
        <v>2520</v>
      </c>
      <c r="D41" s="215"/>
      <c r="E41" s="215"/>
      <c r="F41" s="36" t="s">
        <v>5545</v>
      </c>
      <c r="G41" s="36" t="s">
        <v>5570</v>
      </c>
      <c r="H41" s="36" t="s">
        <v>148</v>
      </c>
      <c r="I41" s="36" t="s">
        <v>5383</v>
      </c>
      <c r="J41" s="6" t="s">
        <v>5571</v>
      </c>
      <c r="K41" s="215" t="n">
        <v>2</v>
      </c>
      <c r="L41" s="215" t="s">
        <v>5373</v>
      </c>
      <c r="M41" s="6" t="s">
        <v>5572</v>
      </c>
      <c r="N41" s="215" t="s">
        <v>5573</v>
      </c>
      <c r="O41" s="36" t="s">
        <v>5376</v>
      </c>
      <c r="P41" s="36" t="s">
        <v>587</v>
      </c>
      <c r="Q41" s="36" t="s">
        <v>5574</v>
      </c>
      <c r="R41" s="36" t="s">
        <v>587</v>
      </c>
      <c r="S41" s="36" t="s">
        <v>587</v>
      </c>
      <c r="T41" s="36" t="s">
        <v>587</v>
      </c>
      <c r="U41" s="36" t="s">
        <v>5575</v>
      </c>
      <c r="V41" s="6" t="s">
        <v>5579</v>
      </c>
      <c r="W41" s="6" t="s">
        <v>5580</v>
      </c>
      <c r="X41" s="186" t="n">
        <f aca="false">IF($O41="Active",SUMPRODUCT(($AH$5:$AH$118=$AH41)*1),0)</f>
        <v>1</v>
      </c>
      <c r="Y41" s="186" t="n">
        <f aca="false">IF(AND($O41="Active",OR($Q41="—",$Q41="")),1,0)</f>
        <v>0</v>
      </c>
      <c r="Z41" s="186" t="n">
        <f aca="false">IF(AND($O41="Active",$L41="利害關係方",OR($R41="—",$R41="")),1,0)</f>
        <v>1</v>
      </c>
      <c r="AH41" s="35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6" t="s">
        <v>3640</v>
      </c>
      <c r="B42" s="6" t="s">
        <v>5581</v>
      </c>
      <c r="C42" s="217" t="n">
        <v>1260</v>
      </c>
      <c r="D42" s="215"/>
      <c r="E42" s="215"/>
      <c r="F42" s="36" t="s">
        <v>5545</v>
      </c>
      <c r="G42" s="36" t="s">
        <v>5570</v>
      </c>
      <c r="H42" s="36" t="s">
        <v>148</v>
      </c>
      <c r="I42" s="36" t="s">
        <v>5383</v>
      </c>
      <c r="J42" s="6" t="s">
        <v>5571</v>
      </c>
      <c r="K42" s="215" t="n">
        <v>2</v>
      </c>
      <c r="L42" s="215" t="s">
        <v>5373</v>
      </c>
      <c r="M42" s="6" t="s">
        <v>5572</v>
      </c>
      <c r="N42" s="215" t="s">
        <v>5573</v>
      </c>
      <c r="O42" s="36" t="s">
        <v>5376</v>
      </c>
      <c r="P42" s="36" t="s">
        <v>587</v>
      </c>
      <c r="Q42" s="36" t="s">
        <v>5574</v>
      </c>
      <c r="R42" s="36" t="s">
        <v>587</v>
      </c>
      <c r="S42" s="36" t="s">
        <v>587</v>
      </c>
      <c r="T42" s="36" t="s">
        <v>587</v>
      </c>
      <c r="U42" s="36" t="s">
        <v>5575</v>
      </c>
      <c r="V42" s="6" t="s">
        <v>5582</v>
      </c>
      <c r="W42" s="6" t="s">
        <v>5583</v>
      </c>
      <c r="X42" s="186" t="n">
        <f aca="false">IF($O42="Active",SUMPRODUCT(($AH$5:$AH$118=$AH42)*1),0)</f>
        <v>1</v>
      </c>
      <c r="Y42" s="186" t="n">
        <f aca="false">IF(AND($O42="Active",OR($Q42="—",$Q42="")),1,0)</f>
        <v>0</v>
      </c>
      <c r="Z42" s="186" t="n">
        <f aca="false">IF(AND($O42="Active",$L42="利害關係方",OR($R42="—",$R42="")),1,0)</f>
        <v>1</v>
      </c>
      <c r="AH42" s="35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6" t="s">
        <v>3628</v>
      </c>
      <c r="B43" s="6" t="s">
        <v>5584</v>
      </c>
      <c r="C43" s="217" t="n">
        <v>288</v>
      </c>
      <c r="D43" s="215"/>
      <c r="E43" s="215"/>
      <c r="F43" s="36" t="s">
        <v>5545</v>
      </c>
      <c r="G43" s="36" t="s">
        <v>5570</v>
      </c>
      <c r="H43" s="36" t="s">
        <v>148</v>
      </c>
      <c r="I43" s="36" t="s">
        <v>5383</v>
      </c>
      <c r="J43" s="6" t="s">
        <v>5571</v>
      </c>
      <c r="K43" s="215" t="n">
        <v>2</v>
      </c>
      <c r="L43" s="215" t="s">
        <v>5373</v>
      </c>
      <c r="M43" s="6" t="s">
        <v>5572</v>
      </c>
      <c r="N43" s="215" t="s">
        <v>5573</v>
      </c>
      <c r="O43" s="36" t="s">
        <v>5376</v>
      </c>
      <c r="P43" s="36" t="s">
        <v>587</v>
      </c>
      <c r="Q43" s="36" t="s">
        <v>5574</v>
      </c>
      <c r="R43" s="36" t="s">
        <v>587</v>
      </c>
      <c r="S43" s="36" t="s">
        <v>587</v>
      </c>
      <c r="T43" s="36" t="s">
        <v>587</v>
      </c>
      <c r="U43" s="36" t="s">
        <v>5575</v>
      </c>
      <c r="V43" s="6" t="s">
        <v>5585</v>
      </c>
      <c r="W43" s="6" t="s">
        <v>5586</v>
      </c>
      <c r="X43" s="186" t="n">
        <f aca="false">IF($O43="Active",SUMPRODUCT(($AH$5:$AH$118=$AH43)*1),0)</f>
        <v>1</v>
      </c>
      <c r="Y43" s="186" t="n">
        <f aca="false">IF(AND($O43="Active",OR($Q43="—",$Q43="")),1,0)</f>
        <v>0</v>
      </c>
      <c r="Z43" s="186" t="n">
        <f aca="false">IF(AND($O43="Active",$L43="利害關係方",OR($R43="—",$R43="")),1,0)</f>
        <v>1</v>
      </c>
      <c r="AH43" s="35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6" t="s">
        <v>3454</v>
      </c>
      <c r="B44" s="6" t="s">
        <v>5587</v>
      </c>
      <c r="C44" s="217" t="n">
        <v>1.979</v>
      </c>
      <c r="D44" s="215"/>
      <c r="E44" s="215"/>
      <c r="F44" s="36" t="s">
        <v>443</v>
      </c>
      <c r="G44" s="36" t="s">
        <v>5501</v>
      </c>
      <c r="H44" s="36" t="s">
        <v>145</v>
      </c>
      <c r="I44" s="36" t="s">
        <v>4914</v>
      </c>
      <c r="J44" s="6" t="s">
        <v>5588</v>
      </c>
      <c r="K44" s="215" t="n">
        <v>1</v>
      </c>
      <c r="L44" s="215" t="s">
        <v>5373</v>
      </c>
      <c r="M44" s="6" t="s">
        <v>5589</v>
      </c>
      <c r="N44" s="215" t="s">
        <v>5375</v>
      </c>
      <c r="O44" s="36" t="s">
        <v>5376</v>
      </c>
      <c r="P44" s="36" t="s">
        <v>587</v>
      </c>
      <c r="Q44" s="36" t="s">
        <v>5590</v>
      </c>
      <c r="R44" s="36" t="s">
        <v>587</v>
      </c>
      <c r="S44" s="36" t="s">
        <v>5154</v>
      </c>
      <c r="T44" s="36" t="s">
        <v>587</v>
      </c>
      <c r="U44" s="36" t="s">
        <v>5591</v>
      </c>
      <c r="V44" s="6" t="s">
        <v>5592</v>
      </c>
      <c r="W44" s="19" t="s">
        <v>5593</v>
      </c>
      <c r="X44" s="186" t="n">
        <f aca="false">IF($O44="Active",SUMPRODUCT(($AH$5:$AH$118=$AH44)*1),0)</f>
        <v>1</v>
      </c>
      <c r="Y44" s="186" t="n">
        <f aca="false">IF(AND($O44="Active",OR($Q44="—",$Q44="")),1,0)</f>
        <v>0</v>
      </c>
      <c r="Z44" s="186" t="n">
        <f aca="false">IF(AND($O44="Active",$L44="利害關係方",OR($R44="—",$R44="")),1,0)</f>
        <v>1</v>
      </c>
      <c r="AH44" s="35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6" t="s">
        <v>3489</v>
      </c>
      <c r="B45" s="6" t="s">
        <v>5594</v>
      </c>
      <c r="C45" s="217" t="n">
        <v>13.4</v>
      </c>
      <c r="D45" s="215"/>
      <c r="E45" s="215"/>
      <c r="F45" s="36" t="s">
        <v>5595</v>
      </c>
      <c r="G45" s="36" t="s">
        <v>5570</v>
      </c>
      <c r="H45" s="36" t="s">
        <v>146</v>
      </c>
      <c r="I45" s="36" t="s">
        <v>587</v>
      </c>
      <c r="J45" s="6" t="s">
        <v>5596</v>
      </c>
      <c r="K45" s="215" t="n">
        <v>3</v>
      </c>
      <c r="L45" s="215" t="s">
        <v>5373</v>
      </c>
      <c r="M45" s="6" t="s">
        <v>5597</v>
      </c>
      <c r="N45" s="215" t="s">
        <v>5505</v>
      </c>
      <c r="O45" s="36" t="s">
        <v>5376</v>
      </c>
      <c r="P45" s="36" t="s">
        <v>587</v>
      </c>
      <c r="Q45" s="36" t="s">
        <v>5598</v>
      </c>
      <c r="R45" s="36" t="s">
        <v>587</v>
      </c>
      <c r="S45" s="36" t="s">
        <v>587</v>
      </c>
      <c r="T45" s="36" t="s">
        <v>587</v>
      </c>
      <c r="U45" s="36" t="s">
        <v>5599</v>
      </c>
      <c r="V45" s="6" t="s">
        <v>5600</v>
      </c>
      <c r="W45" s="6" t="s">
        <v>5601</v>
      </c>
      <c r="X45" s="186" t="n">
        <f aca="false">IF($O45="Active",SUMPRODUCT(($AH$5:$AH$118=$AH45)*1),0)</f>
        <v>1</v>
      </c>
      <c r="Y45" s="186" t="n">
        <f aca="false">IF(AND($O45="Active",OR($Q45="—",$Q45="")),1,0)</f>
        <v>0</v>
      </c>
      <c r="Z45" s="186" t="n">
        <f aca="false">IF(AND($O45="Active",$L45="利害關係方",OR($R45="—",$R45="")),1,0)</f>
        <v>1</v>
      </c>
      <c r="AH45" s="35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6" t="s">
        <v>3623</v>
      </c>
      <c r="B46" s="6" t="s">
        <v>5602</v>
      </c>
      <c r="C46" s="217" t="n">
        <v>2.5</v>
      </c>
      <c r="D46" s="215"/>
      <c r="E46" s="215"/>
      <c r="F46" s="36" t="s">
        <v>443</v>
      </c>
      <c r="G46" s="36" t="s">
        <v>5501</v>
      </c>
      <c r="H46" s="36" t="s">
        <v>5603</v>
      </c>
      <c r="I46" s="36" t="s">
        <v>587</v>
      </c>
      <c r="J46" s="6" t="s">
        <v>5596</v>
      </c>
      <c r="K46" s="215" t="n">
        <v>3</v>
      </c>
      <c r="L46" s="215" t="s">
        <v>5373</v>
      </c>
      <c r="M46" s="6" t="s">
        <v>5597</v>
      </c>
      <c r="N46" s="215" t="s">
        <v>5505</v>
      </c>
      <c r="O46" s="36" t="s">
        <v>5376</v>
      </c>
      <c r="P46" s="36" t="s">
        <v>587</v>
      </c>
      <c r="Q46" s="36" t="s">
        <v>5598</v>
      </c>
      <c r="R46" s="36" t="s">
        <v>587</v>
      </c>
      <c r="S46" s="36" t="s">
        <v>587</v>
      </c>
      <c r="T46" s="36" t="s">
        <v>587</v>
      </c>
      <c r="U46" s="36" t="s">
        <v>5599</v>
      </c>
      <c r="V46" s="6" t="s">
        <v>5604</v>
      </c>
      <c r="W46" s="6" t="s">
        <v>587</v>
      </c>
      <c r="X46" s="186" t="n">
        <f aca="false">IF($O46="Active",SUMPRODUCT(($AH$5:$AH$118=$AH46)*1),0)</f>
        <v>1</v>
      </c>
      <c r="Y46" s="186" t="n">
        <f aca="false">IF(AND($O46="Active",OR($Q46="—",$Q46="")),1,0)</f>
        <v>0</v>
      </c>
      <c r="Z46" s="186" t="n">
        <f aca="false">IF(AND($O46="Active",$L46="利害關係方",OR($R46="—",$R46="")),1,0)</f>
        <v>1</v>
      </c>
      <c r="AH46" s="35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6" t="s">
        <v>3635</v>
      </c>
      <c r="B47" s="6" t="s">
        <v>5605</v>
      </c>
      <c r="C47" s="217" t="n">
        <v>5</v>
      </c>
      <c r="D47" s="215"/>
      <c r="E47" s="215"/>
      <c r="F47" s="36" t="s">
        <v>443</v>
      </c>
      <c r="G47" s="36" t="s">
        <v>5606</v>
      </c>
      <c r="H47" s="36" t="s">
        <v>5603</v>
      </c>
      <c r="I47" s="36" t="s">
        <v>587</v>
      </c>
      <c r="J47" s="6" t="s">
        <v>5596</v>
      </c>
      <c r="K47" s="215" t="n">
        <v>1</v>
      </c>
      <c r="L47" s="215" t="s">
        <v>5373</v>
      </c>
      <c r="M47" s="6" t="s">
        <v>5597</v>
      </c>
      <c r="N47" s="215" t="s">
        <v>5375</v>
      </c>
      <c r="O47" s="36" t="s">
        <v>5376</v>
      </c>
      <c r="P47" s="36" t="s">
        <v>587</v>
      </c>
      <c r="Q47" s="36" t="s">
        <v>5607</v>
      </c>
      <c r="R47" s="36" t="s">
        <v>587</v>
      </c>
      <c r="S47" s="36" t="s">
        <v>5154</v>
      </c>
      <c r="T47" s="36" t="s">
        <v>587</v>
      </c>
      <c r="U47" s="36" t="s">
        <v>5599</v>
      </c>
      <c r="V47" s="6" t="s">
        <v>5608</v>
      </c>
      <c r="W47" s="6" t="s">
        <v>5609</v>
      </c>
      <c r="X47" s="186" t="n">
        <f aca="false">IF($O47="Active",SUMPRODUCT(($AH$5:$AH$118=$AH47)*1),0)</f>
        <v>1</v>
      </c>
      <c r="Y47" s="186" t="n">
        <f aca="false">IF(AND($O47="Active",OR($Q47="—",$Q47="")),1,0)</f>
        <v>0</v>
      </c>
      <c r="Z47" s="186" t="n">
        <f aca="false">IF(AND($O47="Active",$L47="利害關係方",OR($R47="—",$R47="")),1,0)</f>
        <v>1</v>
      </c>
      <c r="AH47" s="35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6" t="s">
        <v>3513</v>
      </c>
      <c r="B48" s="6" t="s">
        <v>5610</v>
      </c>
      <c r="C48" s="217" t="n">
        <v>4600</v>
      </c>
      <c r="D48" s="215"/>
      <c r="E48" s="215"/>
      <c r="F48" s="36" t="s">
        <v>5611</v>
      </c>
      <c r="G48" s="36" t="s">
        <v>5546</v>
      </c>
      <c r="H48" s="36" t="s">
        <v>5459</v>
      </c>
      <c r="I48" s="36" t="s">
        <v>587</v>
      </c>
      <c r="J48" s="6" t="s">
        <v>5596</v>
      </c>
      <c r="K48" s="215" t="n">
        <v>3</v>
      </c>
      <c r="L48" s="215" t="s">
        <v>5373</v>
      </c>
      <c r="M48" s="6" t="s">
        <v>5597</v>
      </c>
      <c r="N48" s="215" t="s">
        <v>5505</v>
      </c>
      <c r="O48" s="36" t="s">
        <v>5376</v>
      </c>
      <c r="P48" s="36" t="s">
        <v>587</v>
      </c>
      <c r="Q48" s="36" t="s">
        <v>5598</v>
      </c>
      <c r="R48" s="36" t="s">
        <v>587</v>
      </c>
      <c r="S48" s="36" t="s">
        <v>587</v>
      </c>
      <c r="T48" s="36" t="s">
        <v>587</v>
      </c>
      <c r="U48" s="36" t="s">
        <v>5599</v>
      </c>
      <c r="V48" s="6" t="s">
        <v>5612</v>
      </c>
      <c r="W48" s="6" t="s">
        <v>5613</v>
      </c>
      <c r="X48" s="186" t="n">
        <f aca="false">IF($O48="Active",SUMPRODUCT(($AH$5:$AH$118=$AH48)*1),0)</f>
        <v>1</v>
      </c>
      <c r="Y48" s="186" t="n">
        <f aca="false">IF(AND($O48="Active",OR($Q48="—",$Q48="")),1,0)</f>
        <v>0</v>
      </c>
      <c r="Z48" s="186" t="n">
        <f aca="false">IF(AND($O48="Active",$L48="利害關係方",OR($R48="—",$R48="")),1,0)</f>
        <v>1</v>
      </c>
      <c r="AH48" s="35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6" t="s">
        <v>5614</v>
      </c>
      <c r="B49" s="6" t="s">
        <v>5615</v>
      </c>
      <c r="C49" s="217" t="n">
        <v>5000</v>
      </c>
      <c r="D49" s="215"/>
      <c r="E49" s="215"/>
      <c r="F49" s="36" t="s">
        <v>5545</v>
      </c>
      <c r="G49" s="36" t="s">
        <v>5546</v>
      </c>
      <c r="H49" s="36" t="s">
        <v>5459</v>
      </c>
      <c r="I49" s="36" t="s">
        <v>587</v>
      </c>
      <c r="J49" s="6" t="s">
        <v>5596</v>
      </c>
      <c r="K49" s="215" t="n">
        <v>3</v>
      </c>
      <c r="L49" s="215" t="s">
        <v>5373</v>
      </c>
      <c r="M49" s="6" t="s">
        <v>5597</v>
      </c>
      <c r="N49" s="215" t="s">
        <v>5505</v>
      </c>
      <c r="O49" s="36" t="s">
        <v>5460</v>
      </c>
      <c r="P49" s="36" t="s">
        <v>5461</v>
      </c>
      <c r="Q49" s="36" t="s">
        <v>5598</v>
      </c>
      <c r="R49" s="36" t="s">
        <v>587</v>
      </c>
      <c r="S49" s="36" t="s">
        <v>587</v>
      </c>
      <c r="T49" s="36" t="s">
        <v>587</v>
      </c>
      <c r="U49" s="36" t="s">
        <v>5599</v>
      </c>
      <c r="V49" s="6" t="s">
        <v>5616</v>
      </c>
      <c r="W49" s="6" t="s">
        <v>5617</v>
      </c>
      <c r="X49" s="186" t="n">
        <f aca="false">IF($O49="Active",SUMPRODUCT(($AH$5:$AH$118=$AH49)*1),0)</f>
        <v>0</v>
      </c>
      <c r="Y49" s="186" t="n">
        <f aca="false">IF(AND($O49="Active",OR($Q49="—",$Q49="")),1,0)</f>
        <v>0</v>
      </c>
      <c r="Z49" s="186" t="n">
        <f aca="false">IF(AND($O49="Active",$L49="利害關係方",OR($R49="—",$R49="")),1,0)</f>
        <v>0</v>
      </c>
      <c r="AH49" s="35" t="str">
        <f aca="false">IF($O49="Active",$B49&amp;"¦"&amp;$G49&amp;"¦"&amp;$H49,"")</f>
        <v/>
      </c>
    </row>
    <row r="50" customFormat="false" ht="29.25" hidden="false" customHeight="true" outlineLevel="0" collapsed="false">
      <c r="A50" s="36" t="s">
        <v>3603</v>
      </c>
      <c r="B50" s="6" t="s">
        <v>5618</v>
      </c>
      <c r="C50" s="217" t="n">
        <v>1.8</v>
      </c>
      <c r="D50" s="215"/>
      <c r="E50" s="215"/>
      <c r="F50" s="36" t="s">
        <v>5619</v>
      </c>
      <c r="G50" s="215" t="s">
        <v>5458</v>
      </c>
      <c r="H50" s="36" t="s">
        <v>1833</v>
      </c>
      <c r="I50" s="36" t="s">
        <v>587</v>
      </c>
      <c r="J50" s="6" t="s">
        <v>5596</v>
      </c>
      <c r="K50" s="215" t="n">
        <v>3</v>
      </c>
      <c r="L50" s="215" t="s">
        <v>5373</v>
      </c>
      <c r="M50" s="6" t="s">
        <v>5597</v>
      </c>
      <c r="N50" s="215" t="s">
        <v>5505</v>
      </c>
      <c r="O50" s="36" t="s">
        <v>5376</v>
      </c>
      <c r="P50" s="36" t="s">
        <v>587</v>
      </c>
      <c r="Q50" s="36" t="s">
        <v>5598</v>
      </c>
      <c r="R50" s="36" t="s">
        <v>587</v>
      </c>
      <c r="S50" s="36" t="s">
        <v>587</v>
      </c>
      <c r="T50" s="36" t="s">
        <v>587</v>
      </c>
      <c r="U50" s="36" t="s">
        <v>5599</v>
      </c>
      <c r="V50" s="6" t="s">
        <v>5620</v>
      </c>
      <c r="W50" s="19" t="s">
        <v>5621</v>
      </c>
      <c r="X50" s="186" t="n">
        <f aca="false">IF($O50="Active",SUMPRODUCT(($AH$5:$AH$118=$AH50)*1),0)</f>
        <v>1</v>
      </c>
      <c r="Y50" s="186" t="n">
        <f aca="false">IF(AND($O50="Active",OR($Q50="—",$Q50="")),1,0)</f>
        <v>0</v>
      </c>
      <c r="Z50" s="186" t="n">
        <f aca="false">IF(AND($O50="Active",$L50="利害關係方",OR($R50="—",$R50="")),1,0)</f>
        <v>1</v>
      </c>
      <c r="AH50" s="35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6" t="s">
        <v>3347</v>
      </c>
      <c r="B51" s="6" t="s">
        <v>5622</v>
      </c>
      <c r="C51" s="217" t="n">
        <v>72</v>
      </c>
      <c r="D51" s="215"/>
      <c r="E51" s="215"/>
      <c r="F51" s="36" t="s">
        <v>698</v>
      </c>
      <c r="G51" s="36" t="s">
        <v>5623</v>
      </c>
      <c r="H51" s="36" t="s">
        <v>5624</v>
      </c>
      <c r="I51" s="36" t="s">
        <v>587</v>
      </c>
      <c r="J51" s="6" t="s">
        <v>5596</v>
      </c>
      <c r="K51" s="215" t="n">
        <v>1</v>
      </c>
      <c r="L51" s="215" t="s">
        <v>5373</v>
      </c>
      <c r="M51" s="6" t="s">
        <v>5625</v>
      </c>
      <c r="N51" s="215" t="s">
        <v>5375</v>
      </c>
      <c r="O51" s="36" t="s">
        <v>5376</v>
      </c>
      <c r="P51" s="36" t="s">
        <v>587</v>
      </c>
      <c r="Q51" s="36" t="s">
        <v>5626</v>
      </c>
      <c r="R51" s="36" t="s">
        <v>587</v>
      </c>
      <c r="S51" s="36" t="s">
        <v>5154</v>
      </c>
      <c r="T51" s="36" t="s">
        <v>587</v>
      </c>
      <c r="U51" s="36" t="s">
        <v>5599</v>
      </c>
      <c r="V51" s="6" t="s">
        <v>5627</v>
      </c>
      <c r="W51" s="19" t="s">
        <v>5628</v>
      </c>
      <c r="X51" s="186" t="n">
        <f aca="false">IF($O51="Active",SUMPRODUCT(($AH$5:$AH$118=$AH51)*1),0)</f>
        <v>1</v>
      </c>
      <c r="Y51" s="186" t="n">
        <f aca="false">IF(AND($O51="Active",OR($Q51="—",$Q51="")),1,0)</f>
        <v>0</v>
      </c>
      <c r="Z51" s="186" t="n">
        <f aca="false">IF(AND($O51="Active",$L51="利害關係方",OR($R51="—",$R51="")),1,0)</f>
        <v>1</v>
      </c>
      <c r="AH51" s="35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6" t="s">
        <v>3522</v>
      </c>
      <c r="B52" s="6" t="s">
        <v>5629</v>
      </c>
      <c r="C52" s="217" t="n">
        <v>0.9</v>
      </c>
      <c r="D52" s="215"/>
      <c r="E52" s="215"/>
      <c r="F52" s="36" t="s">
        <v>327</v>
      </c>
      <c r="G52" s="215" t="s">
        <v>5630</v>
      </c>
      <c r="H52" s="36" t="s">
        <v>5603</v>
      </c>
      <c r="I52" s="36" t="s">
        <v>587</v>
      </c>
      <c r="J52" s="6" t="s">
        <v>5596</v>
      </c>
      <c r="K52" s="215" t="n">
        <v>3</v>
      </c>
      <c r="L52" s="215" t="s">
        <v>5373</v>
      </c>
      <c r="M52" s="6" t="s">
        <v>5597</v>
      </c>
      <c r="N52" s="215" t="s">
        <v>5505</v>
      </c>
      <c r="O52" s="36" t="s">
        <v>5376</v>
      </c>
      <c r="P52" s="36" t="s">
        <v>587</v>
      </c>
      <c r="Q52" s="36" t="s">
        <v>5598</v>
      </c>
      <c r="R52" s="36" t="s">
        <v>587</v>
      </c>
      <c r="S52" s="36" t="s">
        <v>587</v>
      </c>
      <c r="T52" s="36" t="s">
        <v>587</v>
      </c>
      <c r="U52" s="36" t="s">
        <v>5599</v>
      </c>
      <c r="V52" s="6" t="s">
        <v>5631</v>
      </c>
      <c r="W52" s="19" t="s">
        <v>5632</v>
      </c>
      <c r="X52" s="186" t="n">
        <f aca="false">IF($O52="Active",SUMPRODUCT(($AH$5:$AH$118=$AH52)*1),0)</f>
        <v>1</v>
      </c>
      <c r="Y52" s="186" t="n">
        <f aca="false">IF(AND($O52="Active",OR($Q52="—",$Q52="")),1,0)</f>
        <v>0</v>
      </c>
      <c r="Z52" s="186" t="n">
        <f aca="false">IF(AND($O52="Active",$L52="利害關係方",OR($R52="—",$R52="")),1,0)</f>
        <v>1</v>
      </c>
      <c r="AH52" s="35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6" t="s">
        <v>3526</v>
      </c>
      <c r="B53" s="6" t="s">
        <v>5633</v>
      </c>
      <c r="C53" s="217" t="n">
        <v>1.8</v>
      </c>
      <c r="D53" s="215"/>
      <c r="E53" s="215"/>
      <c r="F53" s="36" t="s">
        <v>327</v>
      </c>
      <c r="G53" s="215" t="s">
        <v>5630</v>
      </c>
      <c r="H53" s="36" t="s">
        <v>1833</v>
      </c>
      <c r="I53" s="36" t="s">
        <v>587</v>
      </c>
      <c r="J53" s="6" t="s">
        <v>5596</v>
      </c>
      <c r="K53" s="215" t="n">
        <v>3</v>
      </c>
      <c r="L53" s="215" t="s">
        <v>5373</v>
      </c>
      <c r="M53" s="6" t="s">
        <v>5597</v>
      </c>
      <c r="N53" s="215" t="s">
        <v>5505</v>
      </c>
      <c r="O53" s="36" t="s">
        <v>5376</v>
      </c>
      <c r="P53" s="36" t="s">
        <v>587</v>
      </c>
      <c r="Q53" s="36" t="s">
        <v>5598</v>
      </c>
      <c r="R53" s="36" t="s">
        <v>587</v>
      </c>
      <c r="S53" s="36" t="s">
        <v>587</v>
      </c>
      <c r="T53" s="36" t="s">
        <v>587</v>
      </c>
      <c r="U53" s="36" t="s">
        <v>5599</v>
      </c>
      <c r="V53" s="6" t="s">
        <v>5634</v>
      </c>
      <c r="W53" s="6" t="s">
        <v>587</v>
      </c>
      <c r="X53" s="186" t="n">
        <f aca="false">IF($O53="Active",SUMPRODUCT(($AH$5:$AH$118=$AH53)*1),0)</f>
        <v>1</v>
      </c>
      <c r="Y53" s="186" t="n">
        <f aca="false">IF(AND($O53="Active",OR($Q53="—",$Q53="")),1,0)</f>
        <v>0</v>
      </c>
      <c r="Z53" s="186" t="n">
        <f aca="false">IF(AND($O53="Active",$L53="利害關係方",OR($R53="—",$R53="")),1,0)</f>
        <v>1</v>
      </c>
      <c r="AH53" s="35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6" t="s">
        <v>3564</v>
      </c>
      <c r="B54" s="6" t="s">
        <v>5635</v>
      </c>
      <c r="C54" s="217" t="n">
        <v>0.5625</v>
      </c>
      <c r="D54" s="215"/>
      <c r="E54" s="215"/>
      <c r="F54" s="36" t="s">
        <v>5636</v>
      </c>
      <c r="G54" s="215" t="s">
        <v>5637</v>
      </c>
      <c r="H54" s="36" t="s">
        <v>191</v>
      </c>
      <c r="I54" s="36" t="s">
        <v>587</v>
      </c>
      <c r="J54" s="6" t="s">
        <v>5596</v>
      </c>
      <c r="K54" s="215" t="n">
        <v>3</v>
      </c>
      <c r="L54" s="215" t="s">
        <v>5373</v>
      </c>
      <c r="M54" s="6" t="s">
        <v>5597</v>
      </c>
      <c r="N54" s="215" t="s">
        <v>5505</v>
      </c>
      <c r="O54" s="36" t="s">
        <v>5376</v>
      </c>
      <c r="P54" s="36" t="s">
        <v>587</v>
      </c>
      <c r="Q54" s="36" t="s">
        <v>5598</v>
      </c>
      <c r="R54" s="36" t="s">
        <v>587</v>
      </c>
      <c r="S54" s="36" t="s">
        <v>587</v>
      </c>
      <c r="T54" s="36" t="s">
        <v>587</v>
      </c>
      <c r="U54" s="36" t="s">
        <v>5599</v>
      </c>
      <c r="V54" s="6" t="s">
        <v>5638</v>
      </c>
      <c r="W54" s="6" t="s">
        <v>587</v>
      </c>
      <c r="X54" s="186" t="n">
        <f aca="false">IF($O54="Active",SUMPRODUCT(($AH$5:$AH$118=$AH54)*1),0)</f>
        <v>1</v>
      </c>
      <c r="Y54" s="186" t="n">
        <f aca="false">IF(AND($O54="Active",OR($Q54="—",$Q54="")),1,0)</f>
        <v>0</v>
      </c>
      <c r="Z54" s="186" t="n">
        <f aca="false">IF(AND($O54="Active",$L54="利害關係方",OR($R54="—",$R54="")),1,0)</f>
        <v>1</v>
      </c>
      <c r="AH54" s="35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6" t="s">
        <v>5639</v>
      </c>
      <c r="B55" s="6" t="s">
        <v>5640</v>
      </c>
      <c r="C55" s="217" t="n">
        <v>3</v>
      </c>
      <c r="D55" s="215"/>
      <c r="E55" s="215"/>
      <c r="F55" s="36" t="s">
        <v>5411</v>
      </c>
      <c r="G55" s="215" t="s">
        <v>5458</v>
      </c>
      <c r="H55" s="36" t="s">
        <v>146</v>
      </c>
      <c r="I55" s="36" t="s">
        <v>587</v>
      </c>
      <c r="J55" s="19" t="s">
        <v>5641</v>
      </c>
      <c r="K55" s="215" t="n">
        <v>3</v>
      </c>
      <c r="L55" s="215" t="s">
        <v>5477</v>
      </c>
      <c r="M55" s="6" t="s">
        <v>5642</v>
      </c>
      <c r="N55" s="215" t="s">
        <v>5386</v>
      </c>
      <c r="O55" s="36" t="s">
        <v>5376</v>
      </c>
      <c r="P55" s="36" t="s">
        <v>587</v>
      </c>
      <c r="Q55" s="36" t="s">
        <v>5643</v>
      </c>
      <c r="R55" s="36" t="s">
        <v>587</v>
      </c>
      <c r="S55" s="36" t="s">
        <v>587</v>
      </c>
      <c r="T55" s="36" t="s">
        <v>587</v>
      </c>
      <c r="U55" s="36" t="s">
        <v>5644</v>
      </c>
      <c r="V55" s="6" t="s">
        <v>587</v>
      </c>
      <c r="W55" s="19" t="s">
        <v>5645</v>
      </c>
      <c r="X55" s="186" t="n">
        <f aca="false">IF($O55="Active",SUMPRODUCT(($AH$5:$AH$118=$AH55)*1),0)</f>
        <v>1</v>
      </c>
      <c r="Y55" s="186" t="n">
        <f aca="false">IF(AND($O55="Active",OR($Q55="—",$Q55="")),1,0)</f>
        <v>0</v>
      </c>
      <c r="Z55" s="186" t="n">
        <f aca="false">IF(AND($O55="Active",$L55="利害關係方",OR($R55="—",$R55="")),1,0)</f>
        <v>0</v>
      </c>
      <c r="AH55" s="35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6" t="s">
        <v>3408</v>
      </c>
      <c r="B56" s="6" t="s">
        <v>5646</v>
      </c>
      <c r="C56" s="217" t="n">
        <v>4</v>
      </c>
      <c r="D56" s="215"/>
      <c r="E56" s="215"/>
      <c r="F56" s="36" t="s">
        <v>5411</v>
      </c>
      <c r="G56" s="215" t="s">
        <v>5474</v>
      </c>
      <c r="H56" s="36" t="s">
        <v>147</v>
      </c>
      <c r="I56" s="36" t="s">
        <v>587</v>
      </c>
      <c r="J56" s="19" t="s">
        <v>5641</v>
      </c>
      <c r="K56" s="215" t="n">
        <v>3</v>
      </c>
      <c r="L56" s="215" t="s">
        <v>5477</v>
      </c>
      <c r="M56" s="6" t="s">
        <v>5642</v>
      </c>
      <c r="N56" s="215" t="s">
        <v>5386</v>
      </c>
      <c r="O56" s="36" t="s">
        <v>5376</v>
      </c>
      <c r="P56" s="36" t="s">
        <v>587</v>
      </c>
      <c r="Q56" s="36" t="s">
        <v>5643</v>
      </c>
      <c r="R56" s="36" t="s">
        <v>587</v>
      </c>
      <c r="S56" s="36" t="s">
        <v>587</v>
      </c>
      <c r="T56" s="36" t="s">
        <v>587</v>
      </c>
      <c r="U56" s="36" t="s">
        <v>5644</v>
      </c>
      <c r="V56" s="6" t="s">
        <v>5647</v>
      </c>
      <c r="W56" s="19" t="s">
        <v>5648</v>
      </c>
      <c r="X56" s="186" t="n">
        <f aca="false">IF($O56="Active",SUMPRODUCT(($AH$5:$AH$118=$AH56)*1),0)</f>
        <v>1</v>
      </c>
      <c r="Y56" s="186" t="n">
        <f aca="false">IF(AND($O56="Active",OR($Q56="—",$Q56="")),1,0)</f>
        <v>0</v>
      </c>
      <c r="Z56" s="186" t="n">
        <f aca="false">IF(AND($O56="Active",$L56="利害關係方",OR($R56="—",$R56="")),1,0)</f>
        <v>0</v>
      </c>
      <c r="AH56" s="35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6" t="s">
        <v>3533</v>
      </c>
      <c r="B57" s="6" t="s">
        <v>5649</v>
      </c>
      <c r="C57" s="217" t="n">
        <v>8</v>
      </c>
      <c r="D57" s="215"/>
      <c r="E57" s="215"/>
      <c r="F57" s="36" t="s">
        <v>698</v>
      </c>
      <c r="G57" s="36" t="s">
        <v>5650</v>
      </c>
      <c r="H57" s="36" t="s">
        <v>5651</v>
      </c>
      <c r="I57" s="36" t="s">
        <v>587</v>
      </c>
      <c r="J57" s="6" t="s">
        <v>5652</v>
      </c>
      <c r="K57" s="215" t="n">
        <v>1</v>
      </c>
      <c r="L57" s="215" t="s">
        <v>5373</v>
      </c>
      <c r="M57" s="6" t="s">
        <v>5374</v>
      </c>
      <c r="N57" s="215" t="s">
        <v>5375</v>
      </c>
      <c r="O57" s="36" t="s">
        <v>5376</v>
      </c>
      <c r="P57" s="36" t="s">
        <v>587</v>
      </c>
      <c r="Q57" s="36" t="s">
        <v>5653</v>
      </c>
      <c r="R57" s="36" t="s">
        <v>587</v>
      </c>
      <c r="S57" s="36" t="s">
        <v>5154</v>
      </c>
      <c r="T57" s="36" t="s">
        <v>587</v>
      </c>
      <c r="U57" s="36" t="s">
        <v>5654</v>
      </c>
      <c r="V57" s="6" t="s">
        <v>587</v>
      </c>
      <c r="W57" s="6" t="s">
        <v>5655</v>
      </c>
      <c r="X57" s="186" t="n">
        <f aca="false">IF($O57="Active",SUMPRODUCT(($AH$5:$AH$118=$AH57)*1),0)</f>
        <v>1</v>
      </c>
      <c r="Y57" s="186" t="n">
        <f aca="false">IF(AND($O57="Active",OR($Q57="—",$Q57="")),1,0)</f>
        <v>0</v>
      </c>
      <c r="Z57" s="186" t="n">
        <f aca="false">IF(AND($O57="Active",$L57="利害關係方",OR($R57="—",$R57="")),1,0)</f>
        <v>1</v>
      </c>
      <c r="AH57" s="35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6" t="s">
        <v>5656</v>
      </c>
      <c r="B58" s="6" t="s">
        <v>5657</v>
      </c>
      <c r="C58" s="217" t="n">
        <v>144</v>
      </c>
      <c r="D58" s="215"/>
      <c r="E58" s="215"/>
      <c r="F58" s="215" t="s">
        <v>5658</v>
      </c>
      <c r="G58" s="36" t="s">
        <v>5659</v>
      </c>
      <c r="H58" s="36" t="s">
        <v>5459</v>
      </c>
      <c r="I58" s="36" t="s">
        <v>587</v>
      </c>
      <c r="J58" s="6" t="s">
        <v>5652</v>
      </c>
      <c r="K58" s="215" t="n">
        <v>3</v>
      </c>
      <c r="L58" s="215" t="s">
        <v>5373</v>
      </c>
      <c r="M58" s="6" t="s">
        <v>5660</v>
      </c>
      <c r="N58" s="215" t="s">
        <v>5505</v>
      </c>
      <c r="O58" s="36" t="s">
        <v>5460</v>
      </c>
      <c r="P58" s="36" t="s">
        <v>5461</v>
      </c>
      <c r="Q58" s="36" t="s">
        <v>5661</v>
      </c>
      <c r="R58" s="36" t="s">
        <v>587</v>
      </c>
      <c r="S58" s="36" t="s">
        <v>587</v>
      </c>
      <c r="T58" s="36" t="s">
        <v>587</v>
      </c>
      <c r="U58" s="36" t="s">
        <v>5654</v>
      </c>
      <c r="V58" s="6" t="s">
        <v>587</v>
      </c>
      <c r="W58" s="6" t="s">
        <v>5662</v>
      </c>
      <c r="X58" s="186" t="n">
        <f aca="false">IF($O58="Active",SUMPRODUCT(($AH$5:$AH$118=$AH58)*1),0)</f>
        <v>0</v>
      </c>
      <c r="Y58" s="186" t="n">
        <f aca="false">IF(AND($O58="Active",OR($Q58="—",$Q58="")),1,0)</f>
        <v>0</v>
      </c>
      <c r="Z58" s="186" t="n">
        <f aca="false">IF(AND($O58="Active",$L58="利害關係方",OR($R58="—",$R58="")),1,0)</f>
        <v>0</v>
      </c>
      <c r="AH58" s="35" t="str">
        <f aca="false">IF($O58="Active",$B58&amp;"¦"&amp;$G58&amp;"¦"&amp;$H58,"")</f>
        <v/>
      </c>
    </row>
    <row r="59" customFormat="false" ht="29.25" hidden="false" customHeight="true" outlineLevel="0" collapsed="false">
      <c r="A59" s="36" t="s">
        <v>3562</v>
      </c>
      <c r="B59" s="6" t="s">
        <v>5663</v>
      </c>
      <c r="C59" s="217" t="n">
        <v>1</v>
      </c>
      <c r="D59" s="215"/>
      <c r="E59" s="215"/>
      <c r="F59" s="36" t="s">
        <v>5636</v>
      </c>
      <c r="G59" s="215" t="s">
        <v>5637</v>
      </c>
      <c r="H59" s="36" t="s">
        <v>190</v>
      </c>
      <c r="I59" s="36" t="s">
        <v>587</v>
      </c>
      <c r="J59" s="6" t="s">
        <v>5652</v>
      </c>
      <c r="K59" s="215" t="n">
        <v>3</v>
      </c>
      <c r="L59" s="215" t="s">
        <v>5477</v>
      </c>
      <c r="M59" s="19" t="s">
        <v>5664</v>
      </c>
      <c r="N59" s="215" t="s">
        <v>5505</v>
      </c>
      <c r="O59" s="36" t="s">
        <v>5376</v>
      </c>
      <c r="P59" s="36" t="s">
        <v>587</v>
      </c>
      <c r="Q59" s="36" t="s">
        <v>5661</v>
      </c>
      <c r="R59" s="36" t="s">
        <v>587</v>
      </c>
      <c r="S59" s="36" t="s">
        <v>587</v>
      </c>
      <c r="T59" s="36" t="s">
        <v>587</v>
      </c>
      <c r="U59" s="36" t="s">
        <v>5654</v>
      </c>
      <c r="V59" s="6" t="s">
        <v>587</v>
      </c>
      <c r="W59" s="6" t="s">
        <v>5665</v>
      </c>
      <c r="X59" s="186" t="n">
        <f aca="false">IF($O59="Active",SUMPRODUCT(($AH$5:$AH$118=$AH59)*1),0)</f>
        <v>1</v>
      </c>
      <c r="Y59" s="186" t="n">
        <f aca="false">IF(AND($O59="Active",OR($Q59="—",$Q59="")),1,0)</f>
        <v>0</v>
      </c>
      <c r="Z59" s="186" t="n">
        <f aca="false">IF(AND($O59="Active",$L59="利害關係方",OR($R59="—",$R59="")),1,0)</f>
        <v>0</v>
      </c>
      <c r="AH59" s="35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6" t="s">
        <v>3597</v>
      </c>
      <c r="B60" s="6" t="s">
        <v>5666</v>
      </c>
      <c r="C60" s="217" t="n">
        <v>700</v>
      </c>
      <c r="D60" s="215"/>
      <c r="E60" s="215"/>
      <c r="F60" s="36" t="s">
        <v>5667</v>
      </c>
      <c r="G60" s="36" t="s">
        <v>5668</v>
      </c>
      <c r="H60" s="36" t="s">
        <v>145</v>
      </c>
      <c r="I60" s="36" t="s">
        <v>587</v>
      </c>
      <c r="J60" s="6" t="s">
        <v>5652</v>
      </c>
      <c r="K60" s="215" t="n">
        <v>3</v>
      </c>
      <c r="L60" s="215" t="s">
        <v>5373</v>
      </c>
      <c r="M60" s="6" t="s">
        <v>5374</v>
      </c>
      <c r="N60" s="215" t="s">
        <v>5505</v>
      </c>
      <c r="O60" s="36" t="s">
        <v>5376</v>
      </c>
      <c r="P60" s="36" t="s">
        <v>587</v>
      </c>
      <c r="Q60" s="36" t="s">
        <v>5661</v>
      </c>
      <c r="R60" s="36" t="s">
        <v>587</v>
      </c>
      <c r="S60" s="36" t="s">
        <v>587</v>
      </c>
      <c r="T60" s="36" t="s">
        <v>587</v>
      </c>
      <c r="U60" s="36" t="s">
        <v>5654</v>
      </c>
      <c r="V60" s="6" t="s">
        <v>587</v>
      </c>
      <c r="W60" s="6" t="s">
        <v>5665</v>
      </c>
      <c r="X60" s="186" t="n">
        <f aca="false">IF($O60="Active",SUMPRODUCT(($AH$5:$AH$118=$AH60)*1),0)</f>
        <v>1</v>
      </c>
      <c r="Y60" s="186" t="n">
        <f aca="false">IF(AND($O60="Active",OR($Q60="—",$Q60="")),1,0)</f>
        <v>0</v>
      </c>
      <c r="Z60" s="186" t="n">
        <f aca="false">IF(AND($O60="Active",$L60="利害關係方",OR($R60="—",$R60="")),1,0)</f>
        <v>1</v>
      </c>
      <c r="AH60" s="35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6" t="s">
        <v>3599</v>
      </c>
      <c r="B61" s="6" t="s">
        <v>5669</v>
      </c>
      <c r="C61" s="217" t="n">
        <v>1200</v>
      </c>
      <c r="D61" s="215"/>
      <c r="E61" s="215"/>
      <c r="F61" s="36" t="s">
        <v>5667</v>
      </c>
      <c r="G61" s="215" t="s">
        <v>5670</v>
      </c>
      <c r="H61" s="36" t="s">
        <v>146</v>
      </c>
      <c r="I61" s="36" t="s">
        <v>587</v>
      </c>
      <c r="J61" s="6" t="s">
        <v>5652</v>
      </c>
      <c r="K61" s="215" t="n">
        <v>3</v>
      </c>
      <c r="L61" s="215" t="s">
        <v>5373</v>
      </c>
      <c r="M61" s="6" t="s">
        <v>5374</v>
      </c>
      <c r="N61" s="215" t="s">
        <v>5505</v>
      </c>
      <c r="O61" s="36" t="s">
        <v>5376</v>
      </c>
      <c r="P61" s="36" t="s">
        <v>587</v>
      </c>
      <c r="Q61" s="36" t="s">
        <v>5661</v>
      </c>
      <c r="R61" s="36" t="s">
        <v>587</v>
      </c>
      <c r="S61" s="36" t="s">
        <v>587</v>
      </c>
      <c r="T61" s="36" t="s">
        <v>587</v>
      </c>
      <c r="U61" s="36" t="s">
        <v>5654</v>
      </c>
      <c r="V61" s="6" t="s">
        <v>587</v>
      </c>
      <c r="W61" s="6" t="s">
        <v>5665</v>
      </c>
      <c r="X61" s="186" t="n">
        <f aca="false">IF($O61="Active",SUMPRODUCT(($AH$5:$AH$118=$AH61)*1),0)</f>
        <v>1</v>
      </c>
      <c r="Y61" s="186" t="n">
        <f aca="false">IF(AND($O61="Active",OR($Q61="—",$Q61="")),1,0)</f>
        <v>0</v>
      </c>
      <c r="Z61" s="186" t="n">
        <f aca="false">IF(AND($O61="Active",$L61="利害關係方",OR($R61="—",$R61="")),1,0)</f>
        <v>1</v>
      </c>
      <c r="AH61" s="35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6" t="s">
        <v>3601</v>
      </c>
      <c r="B62" s="6" t="s">
        <v>5671</v>
      </c>
      <c r="C62" s="217" t="n">
        <v>1400</v>
      </c>
      <c r="D62" s="215"/>
      <c r="E62" s="215"/>
      <c r="F62" s="36" t="s">
        <v>5667</v>
      </c>
      <c r="G62" s="215" t="s">
        <v>5670</v>
      </c>
      <c r="H62" s="36" t="s">
        <v>147</v>
      </c>
      <c r="I62" s="36" t="s">
        <v>587</v>
      </c>
      <c r="J62" s="6" t="s">
        <v>5652</v>
      </c>
      <c r="K62" s="215" t="n">
        <v>3</v>
      </c>
      <c r="L62" s="215" t="s">
        <v>5373</v>
      </c>
      <c r="M62" s="6" t="s">
        <v>5374</v>
      </c>
      <c r="N62" s="215" t="s">
        <v>5505</v>
      </c>
      <c r="O62" s="36" t="s">
        <v>5376</v>
      </c>
      <c r="P62" s="36" t="s">
        <v>587</v>
      </c>
      <c r="Q62" s="36" t="s">
        <v>5661</v>
      </c>
      <c r="R62" s="36" t="s">
        <v>587</v>
      </c>
      <c r="S62" s="36" t="s">
        <v>587</v>
      </c>
      <c r="T62" s="36" t="s">
        <v>587</v>
      </c>
      <c r="U62" s="36" t="s">
        <v>5654</v>
      </c>
      <c r="V62" s="6" t="s">
        <v>587</v>
      </c>
      <c r="W62" s="6" t="s">
        <v>5665</v>
      </c>
      <c r="X62" s="186" t="n">
        <f aca="false">IF($O62="Active",SUMPRODUCT(($AH$5:$AH$118=$AH62)*1),0)</f>
        <v>1</v>
      </c>
      <c r="Y62" s="186" t="n">
        <f aca="false">IF(AND($O62="Active",OR($Q62="—",$Q62="")),1,0)</f>
        <v>0</v>
      </c>
      <c r="Z62" s="186" t="n">
        <f aca="false">IF(AND($O62="Active",$L62="利害關係方",OR($R62="—",$R62="")),1,0)</f>
        <v>1</v>
      </c>
      <c r="AH62" s="35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6" t="s">
        <v>3507</v>
      </c>
      <c r="B63" s="6" t="s">
        <v>5672</v>
      </c>
      <c r="C63" s="217" t="n">
        <v>8</v>
      </c>
      <c r="D63" s="215"/>
      <c r="E63" s="215"/>
      <c r="F63" s="36" t="s">
        <v>327</v>
      </c>
      <c r="G63" s="36" t="s">
        <v>5560</v>
      </c>
      <c r="H63" s="36" t="s">
        <v>147</v>
      </c>
      <c r="I63" s="36" t="s">
        <v>587</v>
      </c>
      <c r="J63" s="6" t="s">
        <v>5652</v>
      </c>
      <c r="K63" s="215" t="n">
        <v>3</v>
      </c>
      <c r="L63" s="215" t="s">
        <v>5373</v>
      </c>
      <c r="M63" s="6" t="s">
        <v>5374</v>
      </c>
      <c r="N63" s="215" t="s">
        <v>5505</v>
      </c>
      <c r="O63" s="36" t="s">
        <v>5376</v>
      </c>
      <c r="P63" s="36" t="s">
        <v>587</v>
      </c>
      <c r="Q63" s="36" t="s">
        <v>5661</v>
      </c>
      <c r="R63" s="36" t="s">
        <v>587</v>
      </c>
      <c r="S63" s="36" t="s">
        <v>587</v>
      </c>
      <c r="T63" s="36" t="s">
        <v>587</v>
      </c>
      <c r="U63" s="36" t="s">
        <v>5654</v>
      </c>
      <c r="V63" s="6" t="s">
        <v>587</v>
      </c>
      <c r="W63" s="6" t="s">
        <v>5665</v>
      </c>
      <c r="X63" s="186" t="n">
        <f aca="false">IF($O63="Active",SUMPRODUCT(($AH$5:$AH$118=$AH63)*1),0)</f>
        <v>1</v>
      </c>
      <c r="Y63" s="186" t="n">
        <f aca="false">IF(AND($O63="Active",OR($Q63="—",$Q63="")),1,0)</f>
        <v>0</v>
      </c>
      <c r="Z63" s="186" t="n">
        <f aca="false">IF(AND($O63="Active",$L63="利害關係方",OR($R63="—",$R63="")),1,0)</f>
        <v>1</v>
      </c>
      <c r="AH63" s="35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6" t="s">
        <v>3518</v>
      </c>
      <c r="B64" s="6" t="s">
        <v>5673</v>
      </c>
      <c r="C64" s="217" t="n">
        <v>400</v>
      </c>
      <c r="D64" s="215"/>
      <c r="E64" s="215"/>
      <c r="F64" s="36" t="s">
        <v>5674</v>
      </c>
      <c r="G64" s="215" t="s">
        <v>5675</v>
      </c>
      <c r="H64" s="36" t="s">
        <v>145</v>
      </c>
      <c r="I64" s="36" t="s">
        <v>587</v>
      </c>
      <c r="J64" s="6" t="s">
        <v>5652</v>
      </c>
      <c r="K64" s="215" t="n">
        <v>3</v>
      </c>
      <c r="L64" s="215" t="s">
        <v>5373</v>
      </c>
      <c r="M64" s="6" t="s">
        <v>5374</v>
      </c>
      <c r="N64" s="215" t="s">
        <v>5505</v>
      </c>
      <c r="O64" s="36" t="s">
        <v>5376</v>
      </c>
      <c r="P64" s="36" t="s">
        <v>587</v>
      </c>
      <c r="Q64" s="36" t="s">
        <v>5661</v>
      </c>
      <c r="R64" s="36" t="s">
        <v>587</v>
      </c>
      <c r="S64" s="36" t="s">
        <v>587</v>
      </c>
      <c r="T64" s="36" t="s">
        <v>587</v>
      </c>
      <c r="U64" s="36" t="s">
        <v>5654</v>
      </c>
      <c r="V64" s="6" t="s">
        <v>587</v>
      </c>
      <c r="W64" s="6" t="s">
        <v>5665</v>
      </c>
      <c r="X64" s="186" t="n">
        <f aca="false">IF($O64="Active",SUMPRODUCT(($AH$5:$AH$118=$AH64)*1),0)</f>
        <v>1</v>
      </c>
      <c r="Y64" s="186" t="n">
        <f aca="false">IF(AND($O64="Active",OR($Q64="—",$Q64="")),1,0)</f>
        <v>0</v>
      </c>
      <c r="Z64" s="186" t="n">
        <f aca="false">IF(AND($O64="Active",$L64="利害關係方",OR($R64="—",$R64="")),1,0)</f>
        <v>1</v>
      </c>
      <c r="AH64" s="35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6" t="s">
        <v>3353</v>
      </c>
      <c r="B65" s="6" t="s">
        <v>5676</v>
      </c>
      <c r="C65" s="217" t="n">
        <v>72</v>
      </c>
      <c r="D65" s="215"/>
      <c r="E65" s="215"/>
      <c r="F65" s="215" t="s">
        <v>5658</v>
      </c>
      <c r="G65" s="215" t="s">
        <v>5677</v>
      </c>
      <c r="H65" s="36" t="s">
        <v>5678</v>
      </c>
      <c r="I65" s="36" t="s">
        <v>1189</v>
      </c>
      <c r="J65" s="6" t="s">
        <v>5679</v>
      </c>
      <c r="K65" s="215" t="n">
        <v>1</v>
      </c>
      <c r="L65" s="215" t="s">
        <v>5373</v>
      </c>
      <c r="M65" s="6" t="s">
        <v>5680</v>
      </c>
      <c r="N65" s="215" t="s">
        <v>5375</v>
      </c>
      <c r="O65" s="36" t="s">
        <v>5376</v>
      </c>
      <c r="P65" s="36" t="s">
        <v>587</v>
      </c>
      <c r="Q65" s="36" t="s">
        <v>5681</v>
      </c>
      <c r="R65" s="36" t="s">
        <v>587</v>
      </c>
      <c r="S65" s="36" t="s">
        <v>587</v>
      </c>
      <c r="T65" s="36" t="s">
        <v>587</v>
      </c>
      <c r="U65" s="36" t="s">
        <v>5682</v>
      </c>
      <c r="V65" s="6" t="s">
        <v>5683</v>
      </c>
      <c r="W65" s="6" t="s">
        <v>5684</v>
      </c>
      <c r="X65" s="186" t="n">
        <f aca="false">IF($O65="Active",SUMPRODUCT(($AH$5:$AH$118=$AH65)*1),0)</f>
        <v>1</v>
      </c>
      <c r="Y65" s="186" t="n">
        <f aca="false">IF(AND($O65="Active",OR($Q65="—",$Q65="")),1,0)</f>
        <v>0</v>
      </c>
      <c r="Z65" s="186" t="n">
        <f aca="false">IF(AND($O65="Active",$L65="利害關係方",OR($R65="—",$R65="")),1,0)</f>
        <v>1</v>
      </c>
      <c r="AH65" s="35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6" t="s">
        <v>3539</v>
      </c>
      <c r="B66" s="6" t="s">
        <v>5685</v>
      </c>
      <c r="C66" s="217" t="n">
        <v>576</v>
      </c>
      <c r="D66" s="215"/>
      <c r="E66" s="215"/>
      <c r="F66" s="36" t="s">
        <v>698</v>
      </c>
      <c r="G66" s="36" t="s">
        <v>5686</v>
      </c>
      <c r="H66" s="36" t="s">
        <v>5459</v>
      </c>
      <c r="I66" s="36" t="s">
        <v>1189</v>
      </c>
      <c r="J66" s="6" t="s">
        <v>5679</v>
      </c>
      <c r="K66" s="215" t="n">
        <v>1</v>
      </c>
      <c r="L66" s="215" t="s">
        <v>5373</v>
      </c>
      <c r="M66" s="6" t="s">
        <v>5687</v>
      </c>
      <c r="N66" s="215" t="s">
        <v>5375</v>
      </c>
      <c r="O66" s="36" t="s">
        <v>5376</v>
      </c>
      <c r="P66" s="36" t="s">
        <v>587</v>
      </c>
      <c r="Q66" s="36" t="s">
        <v>5681</v>
      </c>
      <c r="R66" s="36" t="s">
        <v>587</v>
      </c>
      <c r="S66" s="36" t="s">
        <v>587</v>
      </c>
      <c r="T66" s="36" t="s">
        <v>587</v>
      </c>
      <c r="U66" s="36" t="s">
        <v>5682</v>
      </c>
      <c r="V66" s="6" t="s">
        <v>5688</v>
      </c>
      <c r="W66" s="6" t="s">
        <v>5689</v>
      </c>
      <c r="X66" s="186" t="n">
        <f aca="false">IF($O66="Active",SUMPRODUCT(($AH$5:$AH$118=$AH66)*1),0)</f>
        <v>1</v>
      </c>
      <c r="Y66" s="186" t="n">
        <f aca="false">IF(AND($O66="Active",OR($Q66="—",$Q66="")),1,0)</f>
        <v>0</v>
      </c>
      <c r="Z66" s="186" t="n">
        <f aca="false">IF(AND($O66="Active",$L66="利害關係方",OR($R66="—",$R66="")),1,0)</f>
        <v>1</v>
      </c>
      <c r="AH66" s="35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6" t="s">
        <v>3463</v>
      </c>
      <c r="B67" s="6" t="s">
        <v>5690</v>
      </c>
      <c r="C67" s="217" t="n">
        <v>2520</v>
      </c>
      <c r="D67" s="215"/>
      <c r="E67" s="215"/>
      <c r="F67" s="36" t="s">
        <v>5691</v>
      </c>
      <c r="G67" s="36" t="s">
        <v>5692</v>
      </c>
      <c r="H67" s="36" t="s">
        <v>148</v>
      </c>
      <c r="I67" s="36" t="s">
        <v>5383</v>
      </c>
      <c r="J67" s="6" t="s">
        <v>5693</v>
      </c>
      <c r="K67" s="215" t="n">
        <v>1</v>
      </c>
      <c r="L67" s="215" t="s">
        <v>5373</v>
      </c>
      <c r="M67" s="6" t="s">
        <v>5694</v>
      </c>
      <c r="N67" s="215" t="s">
        <v>5375</v>
      </c>
      <c r="O67" s="36" t="s">
        <v>5376</v>
      </c>
      <c r="P67" s="36" t="s">
        <v>587</v>
      </c>
      <c r="Q67" s="36" t="s">
        <v>5695</v>
      </c>
      <c r="R67" s="36" t="s">
        <v>587</v>
      </c>
      <c r="S67" s="36" t="s">
        <v>587</v>
      </c>
      <c r="T67" s="36" t="s">
        <v>587</v>
      </c>
      <c r="U67" s="36" t="s">
        <v>5682</v>
      </c>
      <c r="V67" s="19" t="s">
        <v>5696</v>
      </c>
      <c r="W67" s="6" t="s">
        <v>5697</v>
      </c>
      <c r="X67" s="186" t="n">
        <f aca="false">IF($O67="Active",SUMPRODUCT(($AH$5:$AH$118=$AH67)*1),0)</f>
        <v>1</v>
      </c>
      <c r="Y67" s="186" t="n">
        <f aca="false">IF(AND($O67="Active",OR($Q67="—",$Q67="")),1,0)</f>
        <v>0</v>
      </c>
      <c r="Z67" s="186" t="n">
        <f aca="false">IF(AND($O67="Active",$L67="利害關係方",OR($R67="—",$R67="")),1,0)</f>
        <v>1</v>
      </c>
      <c r="AH67" s="35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6" t="s">
        <v>5698</v>
      </c>
      <c r="B68" s="6" t="s">
        <v>5699</v>
      </c>
      <c r="C68" s="217" t="n">
        <v>227</v>
      </c>
      <c r="D68" s="215"/>
      <c r="E68" s="215"/>
      <c r="F68" s="36" t="s">
        <v>5395</v>
      </c>
      <c r="G68" s="215" t="s">
        <v>5700</v>
      </c>
      <c r="H68" s="36" t="s">
        <v>148</v>
      </c>
      <c r="I68" s="36" t="s">
        <v>1189</v>
      </c>
      <c r="J68" s="6" t="s">
        <v>5701</v>
      </c>
      <c r="K68" s="215" t="n">
        <v>1</v>
      </c>
      <c r="L68" s="215" t="s">
        <v>5373</v>
      </c>
      <c r="M68" s="6" t="s">
        <v>5702</v>
      </c>
      <c r="N68" s="215" t="s">
        <v>5375</v>
      </c>
      <c r="O68" s="36" t="s">
        <v>5376</v>
      </c>
      <c r="P68" s="36" t="s">
        <v>587</v>
      </c>
      <c r="Q68" s="36" t="s">
        <v>5703</v>
      </c>
      <c r="R68" s="36" t="s">
        <v>587</v>
      </c>
      <c r="S68" s="36" t="s">
        <v>587</v>
      </c>
      <c r="T68" s="36" t="s">
        <v>587</v>
      </c>
      <c r="U68" s="36" t="s">
        <v>5682</v>
      </c>
      <c r="V68" s="19" t="s">
        <v>5704</v>
      </c>
      <c r="W68" s="6" t="s">
        <v>5705</v>
      </c>
      <c r="X68" s="186" t="n">
        <f aca="false">IF($O68="Active",SUMPRODUCT(($AH$5:$AH$118=$AH68)*1),0)</f>
        <v>1</v>
      </c>
      <c r="Y68" s="186" t="n">
        <f aca="false">IF(AND($O68="Active",OR($Q68="—",$Q68="")),1,0)</f>
        <v>0</v>
      </c>
      <c r="Z68" s="186" t="n">
        <f aca="false">IF(AND($O68="Active",$L68="利害關係方",OR($R68="—",$R68="")),1,0)</f>
        <v>1</v>
      </c>
      <c r="AH68" s="35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3" t="s">
        <v>5706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5348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214" t="s">
        <v>5363</v>
      </c>
      <c r="Y4" s="214" t="s">
        <v>5364</v>
      </c>
      <c r="Z4" s="214" t="s">
        <v>5365</v>
      </c>
      <c r="AH4" s="76" t="s">
        <v>5366</v>
      </c>
    </row>
    <row r="5" customFormat="false" ht="29.25" hidden="false" customHeight="true" outlineLevel="0" collapsed="false">
      <c r="A5" s="36" t="s">
        <v>3214</v>
      </c>
      <c r="B5" s="6" t="s">
        <v>5707</v>
      </c>
      <c r="C5" s="215"/>
      <c r="D5" s="217" t="n">
        <v>0.04</v>
      </c>
      <c r="E5" s="217" t="n">
        <v>0.08</v>
      </c>
      <c r="F5" s="36" t="s">
        <v>79</v>
      </c>
      <c r="G5" s="215" t="s">
        <v>5708</v>
      </c>
      <c r="H5" s="36" t="s">
        <v>587</v>
      </c>
      <c r="I5" s="36" t="s">
        <v>5383</v>
      </c>
      <c r="J5" s="6" t="s">
        <v>5709</v>
      </c>
      <c r="K5" s="215" t="n">
        <v>3</v>
      </c>
      <c r="L5" s="215" t="s">
        <v>5373</v>
      </c>
      <c r="M5" s="6" t="s">
        <v>5710</v>
      </c>
      <c r="N5" s="215" t="s">
        <v>5386</v>
      </c>
      <c r="O5" s="36" t="s">
        <v>5376</v>
      </c>
      <c r="P5" s="36" t="s">
        <v>587</v>
      </c>
      <c r="Q5" s="36" t="s">
        <v>5711</v>
      </c>
      <c r="R5" s="36" t="s">
        <v>587</v>
      </c>
      <c r="S5" s="36" t="s">
        <v>587</v>
      </c>
      <c r="T5" s="36" t="s">
        <v>587</v>
      </c>
      <c r="U5" s="36" t="s">
        <v>5712</v>
      </c>
      <c r="V5" s="6" t="s">
        <v>5713</v>
      </c>
      <c r="W5" s="19" t="s">
        <v>5714</v>
      </c>
      <c r="X5" s="186" t="n">
        <f aca="false">IF($O5="Active",SUMPRODUCT(($AH$5:$AH$67=$AH5)*1),0)</f>
        <v>1</v>
      </c>
      <c r="Y5" s="186" t="n">
        <f aca="false">IF(AND($O5="Active",OR($Q5="—",$Q5="")),1,0)</f>
        <v>0</v>
      </c>
      <c r="Z5" s="186" t="n">
        <f aca="false">IF(AND($O5="Active",$L5="利害關係方",OR($R5="—",$R5="")),1,0)</f>
        <v>1</v>
      </c>
      <c r="AH5" s="35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6" t="s">
        <v>3219</v>
      </c>
      <c r="B6" s="19" t="s">
        <v>5715</v>
      </c>
      <c r="C6" s="217" t="n">
        <v>0.15</v>
      </c>
      <c r="D6" s="215"/>
      <c r="E6" s="215"/>
      <c r="F6" s="36" t="s">
        <v>79</v>
      </c>
      <c r="G6" s="215" t="s">
        <v>5716</v>
      </c>
      <c r="H6" s="36" t="s">
        <v>587</v>
      </c>
      <c r="I6" s="36" t="s">
        <v>5383</v>
      </c>
      <c r="J6" s="6" t="s">
        <v>5709</v>
      </c>
      <c r="K6" s="215" t="n">
        <v>3</v>
      </c>
      <c r="L6" s="215" t="s">
        <v>5373</v>
      </c>
      <c r="M6" s="6" t="s">
        <v>5710</v>
      </c>
      <c r="N6" s="215" t="s">
        <v>5386</v>
      </c>
      <c r="O6" s="36" t="s">
        <v>5376</v>
      </c>
      <c r="P6" s="36" t="s">
        <v>587</v>
      </c>
      <c r="Q6" s="36" t="s">
        <v>5711</v>
      </c>
      <c r="R6" s="36" t="s">
        <v>587</v>
      </c>
      <c r="S6" s="36" t="s">
        <v>587</v>
      </c>
      <c r="T6" s="36" t="s">
        <v>587</v>
      </c>
      <c r="U6" s="36" t="s">
        <v>5712</v>
      </c>
      <c r="V6" s="6" t="s">
        <v>5717</v>
      </c>
      <c r="W6" s="6" t="s">
        <v>5718</v>
      </c>
      <c r="X6" s="186" t="n">
        <f aca="false">IF($O6="Active",SUMPRODUCT(($AH$5:$AH$67=$AH6)*1),0)</f>
        <v>1</v>
      </c>
      <c r="Y6" s="186" t="n">
        <f aca="false">IF(AND($O6="Active",OR($Q6="—",$Q6="")),1,0)</f>
        <v>0</v>
      </c>
      <c r="Z6" s="186" t="n">
        <f aca="false">IF(AND($O6="Active",$L6="利害關係方",OR($R6="—",$R6="")),1,0)</f>
        <v>1</v>
      </c>
      <c r="AH6" s="35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6" t="s">
        <v>2323</v>
      </c>
      <c r="B7" s="19" t="s">
        <v>5719</v>
      </c>
      <c r="C7" s="217" t="n">
        <v>11.3</v>
      </c>
      <c r="D7" s="215"/>
      <c r="E7" s="215"/>
      <c r="F7" s="36" t="s">
        <v>100</v>
      </c>
      <c r="G7" s="215" t="s">
        <v>5720</v>
      </c>
      <c r="H7" s="215" t="s">
        <v>5721</v>
      </c>
      <c r="I7" s="36" t="s">
        <v>5383</v>
      </c>
      <c r="J7" s="6" t="s">
        <v>5722</v>
      </c>
      <c r="K7" s="215" t="n">
        <v>3</v>
      </c>
      <c r="L7" s="215" t="s">
        <v>5477</v>
      </c>
      <c r="M7" s="6" t="s">
        <v>5723</v>
      </c>
      <c r="N7" s="215" t="s">
        <v>5386</v>
      </c>
      <c r="O7" s="36" t="s">
        <v>5376</v>
      </c>
      <c r="P7" s="36" t="s">
        <v>587</v>
      </c>
      <c r="Q7" s="36" t="s">
        <v>4092</v>
      </c>
      <c r="R7" s="36" t="s">
        <v>587</v>
      </c>
      <c r="S7" s="36" t="s">
        <v>587</v>
      </c>
      <c r="T7" s="36" t="s">
        <v>587</v>
      </c>
      <c r="U7" s="36" t="s">
        <v>5724</v>
      </c>
      <c r="V7" s="6" t="s">
        <v>5725</v>
      </c>
      <c r="W7" s="6" t="s">
        <v>5726</v>
      </c>
      <c r="X7" s="186" t="n">
        <f aca="false">IF($O7="Active",SUMPRODUCT(($AH$5:$AH$67=$AH7)*1),0)</f>
        <v>1</v>
      </c>
      <c r="Y7" s="186" t="n">
        <f aca="false">IF(AND($O7="Active",OR($Q7="—",$Q7="")),1,0)</f>
        <v>0</v>
      </c>
      <c r="Z7" s="186" t="n">
        <f aca="false">IF(AND($O7="Active",$L7="利害關係方",OR($R7="—",$R7="")),1,0)</f>
        <v>0</v>
      </c>
      <c r="AH7" s="35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6" t="s">
        <v>5727</v>
      </c>
      <c r="B8" s="19" t="s">
        <v>5728</v>
      </c>
      <c r="C8" s="215"/>
      <c r="D8" s="217" t="n">
        <v>0.07</v>
      </c>
      <c r="E8" s="217" t="n">
        <v>0.1</v>
      </c>
      <c r="F8" s="36" t="s">
        <v>79</v>
      </c>
      <c r="G8" s="215" t="s">
        <v>5729</v>
      </c>
      <c r="H8" s="215" t="s">
        <v>5730</v>
      </c>
      <c r="I8" s="36" t="s">
        <v>5383</v>
      </c>
      <c r="J8" s="6" t="s">
        <v>5722</v>
      </c>
      <c r="K8" s="215" t="n">
        <v>3</v>
      </c>
      <c r="L8" s="215" t="s">
        <v>5477</v>
      </c>
      <c r="M8" s="6" t="s">
        <v>5723</v>
      </c>
      <c r="N8" s="215" t="s">
        <v>5386</v>
      </c>
      <c r="O8" s="36" t="s">
        <v>5376</v>
      </c>
      <c r="P8" s="36" t="s">
        <v>587</v>
      </c>
      <c r="Q8" s="36" t="s">
        <v>4092</v>
      </c>
      <c r="R8" s="36" t="s">
        <v>587</v>
      </c>
      <c r="S8" s="36" t="s">
        <v>587</v>
      </c>
      <c r="T8" s="36" t="s">
        <v>587</v>
      </c>
      <c r="U8" s="36" t="s">
        <v>5724</v>
      </c>
      <c r="V8" s="6" t="s">
        <v>5725</v>
      </c>
      <c r="W8" s="6" t="s">
        <v>587</v>
      </c>
      <c r="X8" s="186" t="n">
        <f aca="false">IF($O8="Active",SUMPRODUCT(($AH$5:$AH$67=$AH8)*1),0)</f>
        <v>1</v>
      </c>
      <c r="Y8" s="186" t="n">
        <f aca="false">IF(AND($O8="Active",OR($Q8="—",$Q8="")),1,0)</f>
        <v>0</v>
      </c>
      <c r="Z8" s="186" t="n">
        <f aca="false">IF(AND($O8="Active",$L8="利害關係方",OR($R8="—",$R8="")),1,0)</f>
        <v>0</v>
      </c>
      <c r="AH8" s="35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6" t="s">
        <v>5731</v>
      </c>
      <c r="B9" s="19" t="s">
        <v>5732</v>
      </c>
      <c r="C9" s="217" t="n">
        <v>0.0858</v>
      </c>
      <c r="D9" s="215"/>
      <c r="E9" s="215"/>
      <c r="F9" s="36" t="s">
        <v>89</v>
      </c>
      <c r="G9" s="215" t="s">
        <v>5733</v>
      </c>
      <c r="H9" s="215" t="s">
        <v>1178</v>
      </c>
      <c r="I9" s="36" t="s">
        <v>5413</v>
      </c>
      <c r="J9" s="6" t="s">
        <v>5734</v>
      </c>
      <c r="K9" s="215" t="n">
        <v>2</v>
      </c>
      <c r="L9" s="215" t="s">
        <v>5477</v>
      </c>
      <c r="M9" s="6" t="s">
        <v>5735</v>
      </c>
      <c r="N9" s="215" t="s">
        <v>5736</v>
      </c>
      <c r="O9" s="36" t="s">
        <v>5376</v>
      </c>
      <c r="P9" s="36" t="s">
        <v>587</v>
      </c>
      <c r="Q9" s="36" t="s">
        <v>4104</v>
      </c>
      <c r="R9" s="36" t="s">
        <v>587</v>
      </c>
      <c r="S9" s="36" t="s">
        <v>587</v>
      </c>
      <c r="T9" s="36" t="s">
        <v>587</v>
      </c>
      <c r="U9" s="36" t="s">
        <v>5737</v>
      </c>
      <c r="V9" s="6" t="s">
        <v>587</v>
      </c>
      <c r="W9" s="6" t="s">
        <v>587</v>
      </c>
      <c r="X9" s="186" t="n">
        <f aca="false">IF($O9="Active",SUMPRODUCT(($AH$5:$AH$67=$AH9)*1),0)</f>
        <v>1</v>
      </c>
      <c r="Y9" s="186" t="n">
        <f aca="false">IF(AND($O9="Active",OR($Q9="—",$Q9="")),1,0)</f>
        <v>0</v>
      </c>
      <c r="Z9" s="186" t="n">
        <f aca="false">IF(AND($O9="Active",$L9="利害關係方",OR($R9="—",$R9="")),1,0)</f>
        <v>0</v>
      </c>
      <c r="AH9" s="35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6" t="s">
        <v>3207</v>
      </c>
      <c r="B10" s="19" t="s">
        <v>5738</v>
      </c>
      <c r="C10" s="217" t="n">
        <v>0.0871</v>
      </c>
      <c r="D10" s="215"/>
      <c r="E10" s="215"/>
      <c r="F10" s="36" t="s">
        <v>89</v>
      </c>
      <c r="G10" s="215" t="s">
        <v>5733</v>
      </c>
      <c r="H10" s="215" t="s">
        <v>1178</v>
      </c>
      <c r="I10" s="36" t="s">
        <v>5475</v>
      </c>
      <c r="J10" s="6" t="s">
        <v>5734</v>
      </c>
      <c r="K10" s="215" t="n">
        <v>2</v>
      </c>
      <c r="L10" s="215" t="s">
        <v>5477</v>
      </c>
      <c r="M10" s="6" t="s">
        <v>5735</v>
      </c>
      <c r="N10" s="215" t="s">
        <v>5736</v>
      </c>
      <c r="O10" s="36" t="s">
        <v>5376</v>
      </c>
      <c r="P10" s="36" t="s">
        <v>587</v>
      </c>
      <c r="Q10" s="36" t="s">
        <v>4104</v>
      </c>
      <c r="R10" s="36" t="s">
        <v>587</v>
      </c>
      <c r="S10" s="36" t="s">
        <v>587</v>
      </c>
      <c r="T10" s="36" t="s">
        <v>587</v>
      </c>
      <c r="U10" s="36" t="s">
        <v>5737</v>
      </c>
      <c r="V10" s="6" t="s">
        <v>5739</v>
      </c>
      <c r="W10" s="19" t="s">
        <v>5740</v>
      </c>
      <c r="X10" s="186" t="n">
        <f aca="false">IF($O10="Active",SUMPRODUCT(($AH$5:$AH$67=$AH10)*1),0)</f>
        <v>1</v>
      </c>
      <c r="Y10" s="186" t="n">
        <f aca="false">IF(AND($O10="Active",OR($Q10="—",$Q10="")),1,0)</f>
        <v>0</v>
      </c>
      <c r="Z10" s="186" t="n">
        <f aca="false">IF(AND($O10="Active",$L10="利害關係方",OR($R10="—",$R10="")),1,0)</f>
        <v>0</v>
      </c>
      <c r="AH10" s="35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6" t="s">
        <v>3316</v>
      </c>
      <c r="B11" s="6" t="s">
        <v>5741</v>
      </c>
      <c r="C11" s="217" t="n">
        <v>6</v>
      </c>
      <c r="D11" s="215"/>
      <c r="E11" s="215"/>
      <c r="F11" s="215" t="s">
        <v>114</v>
      </c>
      <c r="G11" s="215" t="s">
        <v>5742</v>
      </c>
      <c r="H11" s="36" t="s">
        <v>5743</v>
      </c>
      <c r="I11" s="36" t="s">
        <v>5502</v>
      </c>
      <c r="J11" s="6" t="s">
        <v>5744</v>
      </c>
      <c r="K11" s="215" t="n">
        <v>2</v>
      </c>
      <c r="L11" s="215" t="s">
        <v>5373</v>
      </c>
      <c r="M11" s="19" t="s">
        <v>5745</v>
      </c>
      <c r="N11" s="215" t="s">
        <v>5386</v>
      </c>
      <c r="O11" s="36" t="s">
        <v>5376</v>
      </c>
      <c r="P11" s="36" t="s">
        <v>587</v>
      </c>
      <c r="Q11" s="36" t="s">
        <v>4116</v>
      </c>
      <c r="R11" s="36" t="s">
        <v>587</v>
      </c>
      <c r="S11" s="36" t="s">
        <v>587</v>
      </c>
      <c r="T11" s="36" t="s">
        <v>587</v>
      </c>
      <c r="U11" s="36" t="s">
        <v>5746</v>
      </c>
      <c r="V11" s="6" t="s">
        <v>5747</v>
      </c>
      <c r="W11" s="6" t="s">
        <v>5748</v>
      </c>
      <c r="X11" s="186" t="n">
        <f aca="false">IF($O11="Active",SUMPRODUCT(($AH$5:$AH$67=$AH11)*1),0)</f>
        <v>1</v>
      </c>
      <c r="Y11" s="186" t="n">
        <f aca="false">IF(AND($O11="Active",OR($Q11="—",$Q11="")),1,0)</f>
        <v>0</v>
      </c>
      <c r="Z11" s="186" t="n">
        <f aca="false">IF(AND($O11="Active",$L11="利害關係方",OR($R11="—",$R11="")),1,0)</f>
        <v>1</v>
      </c>
      <c r="AH11" s="35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6" t="s">
        <v>3323</v>
      </c>
      <c r="B12" s="6" t="s">
        <v>5749</v>
      </c>
      <c r="C12" s="217" t="n">
        <v>4</v>
      </c>
      <c r="D12" s="215"/>
      <c r="E12" s="215"/>
      <c r="F12" s="215" t="s">
        <v>114</v>
      </c>
      <c r="G12" s="215" t="s">
        <v>5742</v>
      </c>
      <c r="H12" s="36" t="s">
        <v>5750</v>
      </c>
      <c r="I12" s="36" t="s">
        <v>5502</v>
      </c>
      <c r="J12" s="6" t="s">
        <v>5744</v>
      </c>
      <c r="K12" s="215" t="n">
        <v>2</v>
      </c>
      <c r="L12" s="215" t="s">
        <v>5373</v>
      </c>
      <c r="M12" s="19" t="s">
        <v>5745</v>
      </c>
      <c r="N12" s="215" t="s">
        <v>5386</v>
      </c>
      <c r="O12" s="36" t="s">
        <v>5376</v>
      </c>
      <c r="P12" s="36" t="s">
        <v>587</v>
      </c>
      <c r="Q12" s="36" t="s">
        <v>4116</v>
      </c>
      <c r="R12" s="36" t="s">
        <v>587</v>
      </c>
      <c r="S12" s="36" t="s">
        <v>587</v>
      </c>
      <c r="T12" s="36" t="s">
        <v>587</v>
      </c>
      <c r="U12" s="36" t="s">
        <v>5746</v>
      </c>
      <c r="V12" s="6" t="s">
        <v>5751</v>
      </c>
      <c r="W12" s="6" t="s">
        <v>587</v>
      </c>
      <c r="X12" s="186" t="n">
        <f aca="false">IF($O12="Active",SUMPRODUCT(($AH$5:$AH$67=$AH12)*1),0)</f>
        <v>1</v>
      </c>
      <c r="Y12" s="186" t="n">
        <f aca="false">IF(AND($O12="Active",OR($Q12="—",$Q12="")),1,0)</f>
        <v>0</v>
      </c>
      <c r="Z12" s="186" t="n">
        <f aca="false">IF(AND($O12="Active",$L12="利害關係方",OR($R12="—",$R12="")),1,0)</f>
        <v>1</v>
      </c>
      <c r="AH12" s="35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6" t="s">
        <v>5752</v>
      </c>
      <c r="B13" s="6" t="s">
        <v>5753</v>
      </c>
      <c r="C13" s="217" t="n">
        <v>5</v>
      </c>
      <c r="D13" s="215"/>
      <c r="E13" s="215"/>
      <c r="F13" s="215" t="s">
        <v>114</v>
      </c>
      <c r="G13" s="215" t="s">
        <v>5742</v>
      </c>
      <c r="H13" s="36" t="s">
        <v>5754</v>
      </c>
      <c r="I13" s="36" t="s">
        <v>5502</v>
      </c>
      <c r="J13" s="6" t="s">
        <v>5744</v>
      </c>
      <c r="K13" s="215" t="n">
        <v>2</v>
      </c>
      <c r="L13" s="215" t="s">
        <v>5373</v>
      </c>
      <c r="M13" s="19" t="s">
        <v>5745</v>
      </c>
      <c r="N13" s="215" t="s">
        <v>5386</v>
      </c>
      <c r="O13" s="36" t="s">
        <v>5376</v>
      </c>
      <c r="P13" s="36" t="s">
        <v>587</v>
      </c>
      <c r="Q13" s="36" t="s">
        <v>4116</v>
      </c>
      <c r="R13" s="36" t="s">
        <v>587</v>
      </c>
      <c r="S13" s="36" t="s">
        <v>587</v>
      </c>
      <c r="T13" s="36" t="s">
        <v>587</v>
      </c>
      <c r="U13" s="36" t="s">
        <v>5746</v>
      </c>
      <c r="V13" s="6" t="s">
        <v>587</v>
      </c>
      <c r="W13" s="6" t="s">
        <v>587</v>
      </c>
      <c r="X13" s="186" t="n">
        <f aca="false">IF($O13="Active",SUMPRODUCT(($AH$5:$AH$67=$AH13)*1),0)</f>
        <v>1</v>
      </c>
      <c r="Y13" s="186" t="n">
        <f aca="false">IF(AND($O13="Active",OR($Q13="—",$Q13="")),1,0)</f>
        <v>0</v>
      </c>
      <c r="Z13" s="186" t="n">
        <f aca="false">IF(AND($O13="Active",$L13="利害關係方",OR($R13="—",$R13="")),1,0)</f>
        <v>1</v>
      </c>
      <c r="AH13" s="35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6" t="s">
        <v>2307</v>
      </c>
      <c r="B14" s="19" t="s">
        <v>5755</v>
      </c>
      <c r="C14" s="215"/>
      <c r="D14" s="217" t="n">
        <v>50</v>
      </c>
      <c r="E14" s="217" t="n">
        <v>60</v>
      </c>
      <c r="F14" s="36" t="s">
        <v>2295</v>
      </c>
      <c r="G14" s="36" t="s">
        <v>5756</v>
      </c>
      <c r="H14" s="36" t="s">
        <v>587</v>
      </c>
      <c r="I14" s="36" t="s">
        <v>5757</v>
      </c>
      <c r="J14" s="6" t="s">
        <v>5758</v>
      </c>
      <c r="K14" s="215" t="n">
        <v>3</v>
      </c>
      <c r="L14" s="215" t="s">
        <v>5373</v>
      </c>
      <c r="M14" s="6" t="s">
        <v>5759</v>
      </c>
      <c r="N14" s="215" t="s">
        <v>5386</v>
      </c>
      <c r="O14" s="36" t="s">
        <v>5376</v>
      </c>
      <c r="P14" s="36" t="s">
        <v>587</v>
      </c>
      <c r="Q14" s="36" t="s">
        <v>5760</v>
      </c>
      <c r="R14" s="36" t="s">
        <v>587</v>
      </c>
      <c r="S14" s="36" t="s">
        <v>587</v>
      </c>
      <c r="T14" s="36" t="s">
        <v>587</v>
      </c>
      <c r="U14" s="36" t="s">
        <v>5761</v>
      </c>
      <c r="V14" s="6" t="s">
        <v>5762</v>
      </c>
      <c r="W14" s="6" t="s">
        <v>587</v>
      </c>
      <c r="X14" s="186" t="n">
        <f aca="false">IF($O14="Active",SUMPRODUCT(($AH$5:$AH$67=$AH14)*1),0)</f>
        <v>1</v>
      </c>
      <c r="Y14" s="186" t="n">
        <f aca="false">IF(AND($O14="Active",OR($Q14="—",$Q14="")),1,0)</f>
        <v>0</v>
      </c>
      <c r="Z14" s="186" t="n">
        <f aca="false">IF(AND($O14="Active",$L14="利害關係方",OR($R14="—",$R14="")),1,0)</f>
        <v>1</v>
      </c>
      <c r="AH14" s="35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6" t="s">
        <v>2314</v>
      </c>
      <c r="B15" s="19" t="s">
        <v>5763</v>
      </c>
      <c r="C15" s="217" t="n">
        <v>35</v>
      </c>
      <c r="D15" s="215"/>
      <c r="E15" s="215"/>
      <c r="F15" s="36" t="s">
        <v>2295</v>
      </c>
      <c r="G15" s="36" t="s">
        <v>5756</v>
      </c>
      <c r="H15" s="36" t="s">
        <v>587</v>
      </c>
      <c r="I15" s="36" t="s">
        <v>5757</v>
      </c>
      <c r="J15" s="6" t="s">
        <v>5758</v>
      </c>
      <c r="K15" s="215" t="n">
        <v>3</v>
      </c>
      <c r="L15" s="215" t="s">
        <v>5373</v>
      </c>
      <c r="M15" s="6" t="s">
        <v>5759</v>
      </c>
      <c r="N15" s="215" t="s">
        <v>5386</v>
      </c>
      <c r="O15" s="36" t="s">
        <v>5376</v>
      </c>
      <c r="P15" s="36" t="s">
        <v>587</v>
      </c>
      <c r="Q15" s="36" t="s">
        <v>5760</v>
      </c>
      <c r="R15" s="36" t="s">
        <v>587</v>
      </c>
      <c r="S15" s="36" t="s">
        <v>587</v>
      </c>
      <c r="T15" s="36" t="s">
        <v>587</v>
      </c>
      <c r="U15" s="36" t="s">
        <v>5761</v>
      </c>
      <c r="V15" s="6" t="s">
        <v>5764</v>
      </c>
      <c r="W15" s="6" t="s">
        <v>587</v>
      </c>
      <c r="X15" s="186" t="n">
        <f aca="false">IF($O15="Active",SUMPRODUCT(($AH$5:$AH$67=$AH15)*1),0)</f>
        <v>1</v>
      </c>
      <c r="Y15" s="186" t="n">
        <f aca="false">IF(AND($O15="Active",OR($Q15="—",$Q15="")),1,0)</f>
        <v>0</v>
      </c>
      <c r="Z15" s="186" t="n">
        <f aca="false">IF(AND($O15="Active",$L15="利害關係方",OR($R15="—",$R15="")),1,0)</f>
        <v>1</v>
      </c>
      <c r="AH15" s="35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6" t="s">
        <v>2347</v>
      </c>
      <c r="B16" s="6" t="s">
        <v>5765</v>
      </c>
      <c r="C16" s="217" t="n">
        <v>2.21</v>
      </c>
      <c r="D16" s="215"/>
      <c r="E16" s="215"/>
      <c r="F16" s="36" t="s">
        <v>819</v>
      </c>
      <c r="G16" s="215" t="s">
        <v>5766</v>
      </c>
      <c r="H16" s="36" t="s">
        <v>146</v>
      </c>
      <c r="I16" s="36" t="s">
        <v>5475</v>
      </c>
      <c r="J16" s="6" t="s">
        <v>5767</v>
      </c>
      <c r="K16" s="215" t="n">
        <v>2</v>
      </c>
      <c r="L16" s="215" t="s">
        <v>5373</v>
      </c>
      <c r="M16" s="6" t="s">
        <v>5768</v>
      </c>
      <c r="N16" s="215" t="s">
        <v>5769</v>
      </c>
      <c r="O16" s="36" t="s">
        <v>5376</v>
      </c>
      <c r="P16" s="36" t="s">
        <v>587</v>
      </c>
      <c r="Q16" s="36" t="s">
        <v>5770</v>
      </c>
      <c r="R16" s="36" t="s">
        <v>587</v>
      </c>
      <c r="S16" s="36" t="s">
        <v>587</v>
      </c>
      <c r="T16" s="36" t="s">
        <v>587</v>
      </c>
      <c r="U16" s="36" t="s">
        <v>5771</v>
      </c>
      <c r="V16" s="6" t="s">
        <v>5772</v>
      </c>
      <c r="W16" s="19" t="s">
        <v>5773</v>
      </c>
      <c r="X16" s="186" t="n">
        <f aca="false">IF($O16="Active",SUMPRODUCT(($AH$5:$AH$67=$AH16)*1),0)</f>
        <v>1</v>
      </c>
      <c r="Y16" s="186" t="n">
        <f aca="false">IF(AND($O16="Active",OR($Q16="—",$Q16="")),1,0)</f>
        <v>0</v>
      </c>
      <c r="Z16" s="186" t="n">
        <f aca="false">IF(AND($O16="Active",$L16="利害關係方",OR($R16="—",$R16="")),1,0)</f>
        <v>1</v>
      </c>
      <c r="AH16" s="35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6" t="s">
        <v>2351</v>
      </c>
      <c r="B17" s="6" t="s">
        <v>5774</v>
      </c>
      <c r="C17" s="217" t="n">
        <v>2.65</v>
      </c>
      <c r="D17" s="215"/>
      <c r="E17" s="215"/>
      <c r="F17" s="36" t="s">
        <v>819</v>
      </c>
      <c r="G17" s="215" t="s">
        <v>5766</v>
      </c>
      <c r="H17" s="36" t="s">
        <v>147</v>
      </c>
      <c r="I17" s="36" t="s">
        <v>5475</v>
      </c>
      <c r="J17" s="6" t="s">
        <v>5767</v>
      </c>
      <c r="K17" s="215" t="n">
        <v>2</v>
      </c>
      <c r="L17" s="215" t="s">
        <v>5373</v>
      </c>
      <c r="M17" s="6" t="s">
        <v>5768</v>
      </c>
      <c r="N17" s="215" t="s">
        <v>5769</v>
      </c>
      <c r="O17" s="36" t="s">
        <v>5376</v>
      </c>
      <c r="P17" s="36" t="s">
        <v>587</v>
      </c>
      <c r="Q17" s="36" t="s">
        <v>5770</v>
      </c>
      <c r="R17" s="36" t="s">
        <v>587</v>
      </c>
      <c r="S17" s="36" t="s">
        <v>587</v>
      </c>
      <c r="T17" s="36" t="s">
        <v>587</v>
      </c>
      <c r="U17" s="36" t="s">
        <v>5771</v>
      </c>
      <c r="V17" s="6" t="s">
        <v>5775</v>
      </c>
      <c r="W17" s="19" t="s">
        <v>5773</v>
      </c>
      <c r="X17" s="186" t="n">
        <f aca="false">IF($O17="Active",SUMPRODUCT(($AH$5:$AH$67=$AH17)*1),0)</f>
        <v>1</v>
      </c>
      <c r="Y17" s="186" t="n">
        <f aca="false">IF(AND($O17="Active",OR($Q17="—",$Q17="")),1,0)</f>
        <v>0</v>
      </c>
      <c r="Z17" s="186" t="n">
        <f aca="false">IF(AND($O17="Active",$L17="利害關係方",OR($R17="—",$R17="")),1,0)</f>
        <v>1</v>
      </c>
      <c r="AH17" s="35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3" t="s">
        <v>5776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5348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214" t="s">
        <v>5363</v>
      </c>
      <c r="Y4" s="214" t="s">
        <v>5364</v>
      </c>
      <c r="Z4" s="214" t="s">
        <v>5365</v>
      </c>
      <c r="AH4" s="76" t="s">
        <v>5366</v>
      </c>
    </row>
    <row r="5" customFormat="false" ht="29.25" hidden="false" customHeight="true" outlineLevel="0" collapsed="false">
      <c r="A5" s="36" t="s">
        <v>3664</v>
      </c>
      <c r="B5" s="6" t="s">
        <v>5777</v>
      </c>
      <c r="C5" s="217" t="n">
        <v>1600</v>
      </c>
      <c r="D5" s="215"/>
      <c r="E5" s="215"/>
      <c r="F5" s="36" t="s">
        <v>236</v>
      </c>
      <c r="G5" s="36" t="s">
        <v>587</v>
      </c>
      <c r="H5" s="36" t="s">
        <v>5778</v>
      </c>
      <c r="I5" s="36" t="s">
        <v>5383</v>
      </c>
      <c r="J5" s="6" t="s">
        <v>5779</v>
      </c>
      <c r="K5" s="215" t="n">
        <v>3</v>
      </c>
      <c r="L5" s="215" t="s">
        <v>5373</v>
      </c>
      <c r="M5" s="6" t="s">
        <v>5780</v>
      </c>
      <c r="N5" s="215" t="s">
        <v>5386</v>
      </c>
      <c r="O5" s="36" t="s">
        <v>5376</v>
      </c>
      <c r="P5" s="36" t="s">
        <v>587</v>
      </c>
      <c r="Q5" s="36" t="s">
        <v>5781</v>
      </c>
      <c r="R5" s="36" t="s">
        <v>587</v>
      </c>
      <c r="S5" s="36" t="s">
        <v>587</v>
      </c>
      <c r="T5" s="36" t="s">
        <v>587</v>
      </c>
      <c r="U5" s="36" t="s">
        <v>2932</v>
      </c>
      <c r="V5" s="6" t="s">
        <v>5782</v>
      </c>
      <c r="W5" s="19" t="s">
        <v>5783</v>
      </c>
      <c r="X5" s="186" t="n">
        <f aca="false">IF($O5="Active",SUMPRODUCT(($AH$5:$AH$115=$AH5)*1),0)</f>
        <v>1</v>
      </c>
      <c r="Y5" s="186" t="n">
        <f aca="false">IF(AND($O5="Active",OR($Q5="—",$Q5="")),1,0)</f>
        <v>0</v>
      </c>
      <c r="Z5" s="186" t="n">
        <f aca="false">IF(AND($O5="Active",$L5="利害關係方",OR($R5="—",$R5="")),1,0)</f>
        <v>1</v>
      </c>
      <c r="AH5" s="35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6" t="s">
        <v>3670</v>
      </c>
      <c r="B6" s="6" t="s">
        <v>5784</v>
      </c>
      <c r="C6" s="217" t="n">
        <v>49</v>
      </c>
      <c r="D6" s="215"/>
      <c r="E6" s="215"/>
      <c r="F6" s="36" t="s">
        <v>236</v>
      </c>
      <c r="G6" s="36" t="s">
        <v>587</v>
      </c>
      <c r="H6" s="36" t="s">
        <v>5778</v>
      </c>
      <c r="I6" s="36" t="s">
        <v>5383</v>
      </c>
      <c r="J6" s="6" t="s">
        <v>5779</v>
      </c>
      <c r="K6" s="215" t="n">
        <v>1</v>
      </c>
      <c r="L6" s="215" t="s">
        <v>5373</v>
      </c>
      <c r="M6" s="6" t="s">
        <v>5780</v>
      </c>
      <c r="N6" s="215" t="s">
        <v>5375</v>
      </c>
      <c r="O6" s="36" t="s">
        <v>5376</v>
      </c>
      <c r="P6" s="36" t="s">
        <v>587</v>
      </c>
      <c r="Q6" s="36" t="s">
        <v>5785</v>
      </c>
      <c r="R6" s="36" t="s">
        <v>587</v>
      </c>
      <c r="S6" s="36" t="s">
        <v>5154</v>
      </c>
      <c r="T6" s="36" t="s">
        <v>587</v>
      </c>
      <c r="U6" s="36" t="s">
        <v>2932</v>
      </c>
      <c r="V6" s="6" t="s">
        <v>5786</v>
      </c>
      <c r="W6" s="6" t="s">
        <v>5787</v>
      </c>
      <c r="X6" s="186" t="n">
        <f aca="false">IF($O6="Active",SUMPRODUCT(($AH$5:$AH$115=$AH6)*1),0)</f>
        <v>1</v>
      </c>
      <c r="Y6" s="186" t="n">
        <f aca="false">IF(AND($O6="Active",OR($Q6="—",$Q6="")),1,0)</f>
        <v>0</v>
      </c>
      <c r="Z6" s="186" t="n">
        <f aca="false">IF(AND($O6="Active",$L6="利害關係方",OR($R6="—",$R6="")),1,0)</f>
        <v>1</v>
      </c>
      <c r="AH6" s="35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6" t="s">
        <v>3674</v>
      </c>
      <c r="B7" s="6" t="s">
        <v>5788</v>
      </c>
      <c r="C7" s="217" t="n">
        <v>61</v>
      </c>
      <c r="D7" s="215"/>
      <c r="E7" s="215"/>
      <c r="F7" s="215" t="s">
        <v>242</v>
      </c>
      <c r="G7" s="36" t="s">
        <v>587</v>
      </c>
      <c r="H7" s="36" t="s">
        <v>5778</v>
      </c>
      <c r="I7" s="36" t="s">
        <v>5383</v>
      </c>
      <c r="J7" s="6" t="s">
        <v>5779</v>
      </c>
      <c r="K7" s="215" t="n">
        <v>3</v>
      </c>
      <c r="L7" s="215" t="s">
        <v>5373</v>
      </c>
      <c r="M7" s="6" t="s">
        <v>5780</v>
      </c>
      <c r="N7" s="215" t="s">
        <v>5386</v>
      </c>
      <c r="O7" s="36" t="s">
        <v>5376</v>
      </c>
      <c r="P7" s="36" t="s">
        <v>587</v>
      </c>
      <c r="Q7" s="36" t="s">
        <v>5781</v>
      </c>
      <c r="R7" s="36" t="s">
        <v>587</v>
      </c>
      <c r="S7" s="36" t="s">
        <v>587</v>
      </c>
      <c r="T7" s="36" t="s">
        <v>587</v>
      </c>
      <c r="U7" s="36" t="s">
        <v>2932</v>
      </c>
      <c r="V7" s="6" t="s">
        <v>5789</v>
      </c>
      <c r="W7" s="6" t="s">
        <v>587</v>
      </c>
      <c r="X7" s="186" t="n">
        <f aca="false">IF($O7="Active",SUMPRODUCT(($AH$5:$AH$115=$AH7)*1),0)</f>
        <v>1</v>
      </c>
      <c r="Y7" s="186" t="n">
        <f aca="false">IF(AND($O7="Active",OR($Q7="—",$Q7="")),1,0)</f>
        <v>0</v>
      </c>
      <c r="Z7" s="186" t="n">
        <f aca="false">IF(AND($O7="Active",$L7="利害關係方",OR($R7="—",$R7="")),1,0)</f>
        <v>1</v>
      </c>
      <c r="AH7" s="35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6" t="s">
        <v>3708</v>
      </c>
      <c r="B8" s="6" t="s">
        <v>5790</v>
      </c>
      <c r="C8" s="217" t="n">
        <v>7168</v>
      </c>
      <c r="D8" s="215"/>
      <c r="E8" s="215"/>
      <c r="F8" s="215" t="s">
        <v>5791</v>
      </c>
      <c r="G8" s="36" t="s">
        <v>587</v>
      </c>
      <c r="H8" s="36" t="s">
        <v>5778</v>
      </c>
      <c r="I8" s="36" t="s">
        <v>5383</v>
      </c>
      <c r="J8" s="6" t="s">
        <v>5779</v>
      </c>
      <c r="K8" s="215" t="n">
        <v>3</v>
      </c>
      <c r="L8" s="215" t="s">
        <v>5373</v>
      </c>
      <c r="M8" s="6" t="s">
        <v>5780</v>
      </c>
      <c r="N8" s="215" t="s">
        <v>5386</v>
      </c>
      <c r="O8" s="36" t="s">
        <v>5376</v>
      </c>
      <c r="P8" s="36" t="s">
        <v>587</v>
      </c>
      <c r="Q8" s="36" t="s">
        <v>5781</v>
      </c>
      <c r="R8" s="36" t="s">
        <v>587</v>
      </c>
      <c r="S8" s="36" t="s">
        <v>587</v>
      </c>
      <c r="T8" s="36" t="s">
        <v>587</v>
      </c>
      <c r="U8" s="36" t="s">
        <v>2932</v>
      </c>
      <c r="V8" s="6" t="s">
        <v>5792</v>
      </c>
      <c r="W8" s="6" t="s">
        <v>587</v>
      </c>
      <c r="X8" s="186" t="n">
        <f aca="false">IF($O8="Active",SUMPRODUCT(($AH$5:$AH$115=$AH8)*1),0)</f>
        <v>1</v>
      </c>
      <c r="Y8" s="186" t="n">
        <f aca="false">IF(AND($O8="Active",OR($Q8="—",$Q8="")),1,0)</f>
        <v>0</v>
      </c>
      <c r="Z8" s="186" t="n">
        <f aca="false">IF(AND($O8="Active",$L8="利害關係方",OR($R8="—",$R8="")),1,0)</f>
        <v>1</v>
      </c>
      <c r="AH8" s="35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6" t="s">
        <v>3662</v>
      </c>
      <c r="B9" s="6" t="s">
        <v>5793</v>
      </c>
      <c r="C9" s="217" t="n">
        <v>284</v>
      </c>
      <c r="D9" s="215"/>
      <c r="E9" s="215"/>
      <c r="F9" s="36" t="s">
        <v>236</v>
      </c>
      <c r="G9" s="36" t="s">
        <v>587</v>
      </c>
      <c r="H9" s="36" t="s">
        <v>5794</v>
      </c>
      <c r="I9" s="36" t="s">
        <v>5383</v>
      </c>
      <c r="J9" s="6" t="s">
        <v>5779</v>
      </c>
      <c r="K9" s="215" t="n">
        <v>3</v>
      </c>
      <c r="L9" s="215" t="s">
        <v>5373</v>
      </c>
      <c r="M9" s="6" t="s">
        <v>5780</v>
      </c>
      <c r="N9" s="215" t="s">
        <v>5386</v>
      </c>
      <c r="O9" s="36" t="s">
        <v>5376</v>
      </c>
      <c r="P9" s="36" t="s">
        <v>587</v>
      </c>
      <c r="Q9" s="36" t="s">
        <v>5781</v>
      </c>
      <c r="R9" s="36" t="s">
        <v>587</v>
      </c>
      <c r="S9" s="36" t="s">
        <v>587</v>
      </c>
      <c r="T9" s="36" t="s">
        <v>587</v>
      </c>
      <c r="U9" s="36" t="s">
        <v>2932</v>
      </c>
      <c r="V9" s="6" t="s">
        <v>5795</v>
      </c>
      <c r="W9" s="6" t="s">
        <v>587</v>
      </c>
      <c r="X9" s="186" t="n">
        <f aca="false">IF($O9="Active",SUMPRODUCT(($AH$5:$AH$115=$AH9)*1),0)</f>
        <v>1</v>
      </c>
      <c r="Y9" s="186" t="n">
        <f aca="false">IF(AND($O9="Active",OR($Q9="—",$Q9="")),1,0)</f>
        <v>0</v>
      </c>
      <c r="Z9" s="186" t="n">
        <f aca="false">IF(AND($O9="Active",$L9="利害關係方",OR($R9="—",$R9="")),1,0)</f>
        <v>1</v>
      </c>
      <c r="AH9" s="35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6" t="s">
        <v>3667</v>
      </c>
      <c r="B10" s="6" t="s">
        <v>5796</v>
      </c>
      <c r="C10" s="217" t="n">
        <v>13</v>
      </c>
      <c r="D10" s="215"/>
      <c r="E10" s="215"/>
      <c r="F10" s="36" t="s">
        <v>236</v>
      </c>
      <c r="G10" s="36" t="s">
        <v>587</v>
      </c>
      <c r="H10" s="36" t="s">
        <v>5794</v>
      </c>
      <c r="I10" s="36" t="s">
        <v>5383</v>
      </c>
      <c r="J10" s="6" t="s">
        <v>5779</v>
      </c>
      <c r="K10" s="215" t="n">
        <v>1</v>
      </c>
      <c r="L10" s="215" t="s">
        <v>5373</v>
      </c>
      <c r="M10" s="6" t="s">
        <v>5780</v>
      </c>
      <c r="N10" s="215" t="s">
        <v>5375</v>
      </c>
      <c r="O10" s="36" t="s">
        <v>5376</v>
      </c>
      <c r="P10" s="36" t="s">
        <v>587</v>
      </c>
      <c r="Q10" s="36" t="s">
        <v>5797</v>
      </c>
      <c r="R10" s="36" t="s">
        <v>587</v>
      </c>
      <c r="S10" s="36" t="s">
        <v>5154</v>
      </c>
      <c r="T10" s="36" t="s">
        <v>587</v>
      </c>
      <c r="U10" s="36" t="s">
        <v>2932</v>
      </c>
      <c r="V10" s="6" t="s">
        <v>5798</v>
      </c>
      <c r="W10" s="6" t="s">
        <v>5799</v>
      </c>
      <c r="X10" s="186" t="n">
        <f aca="false">IF($O10="Active",SUMPRODUCT(($AH$5:$AH$115=$AH10)*1),0)</f>
        <v>1</v>
      </c>
      <c r="Y10" s="186" t="n">
        <f aca="false">IF(AND($O10="Active",OR($Q10="—",$Q10="")),1,0)</f>
        <v>0</v>
      </c>
      <c r="Z10" s="186" t="n">
        <f aca="false">IF(AND($O10="Active",$L10="利害關係方",OR($R10="—",$R10="")),1,0)</f>
        <v>1</v>
      </c>
      <c r="AH10" s="35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6" t="s">
        <v>3672</v>
      </c>
      <c r="B11" s="6" t="s">
        <v>5800</v>
      </c>
      <c r="C11" s="217" t="n">
        <v>43</v>
      </c>
      <c r="D11" s="215"/>
      <c r="E11" s="215"/>
      <c r="F11" s="215" t="s">
        <v>242</v>
      </c>
      <c r="G11" s="215" t="s">
        <v>5386</v>
      </c>
      <c r="H11" s="36" t="s">
        <v>5801</v>
      </c>
      <c r="I11" s="36" t="s">
        <v>587</v>
      </c>
      <c r="J11" s="6" t="s">
        <v>5802</v>
      </c>
      <c r="K11" s="215" t="n">
        <v>1</v>
      </c>
      <c r="L11" s="215" t="s">
        <v>5373</v>
      </c>
      <c r="M11" s="6" t="s">
        <v>5803</v>
      </c>
      <c r="N11" s="215" t="s">
        <v>5375</v>
      </c>
      <c r="O11" s="36" t="s">
        <v>5376</v>
      </c>
      <c r="P11" s="36" t="s">
        <v>587</v>
      </c>
      <c r="Q11" s="36" t="s">
        <v>5804</v>
      </c>
      <c r="R11" s="36" t="s">
        <v>587</v>
      </c>
      <c r="S11" s="36" t="s">
        <v>5154</v>
      </c>
      <c r="T11" s="36" t="s">
        <v>587</v>
      </c>
      <c r="U11" s="36" t="s">
        <v>5805</v>
      </c>
      <c r="V11" s="6" t="s">
        <v>5806</v>
      </c>
      <c r="W11" s="6" t="s">
        <v>5807</v>
      </c>
      <c r="X11" s="186" t="n">
        <f aca="false">IF($O11="Active",SUMPRODUCT(($AH$5:$AH$115=$AH11)*1),0)</f>
        <v>1</v>
      </c>
      <c r="Y11" s="186" t="n">
        <f aca="false">IF(AND($O11="Active",OR($Q11="—",$Q11="")),1,0)</f>
        <v>0</v>
      </c>
      <c r="Z11" s="186" t="n">
        <f aca="false">IF(AND($O11="Active",$L11="利害關係方",OR($R11="—",$R11="")),1,0)</f>
        <v>1</v>
      </c>
      <c r="AH11" s="35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6" t="s">
        <v>3710</v>
      </c>
      <c r="B12" s="6" t="s">
        <v>5808</v>
      </c>
      <c r="C12" s="217" t="n">
        <v>128</v>
      </c>
      <c r="D12" s="215"/>
      <c r="E12" s="215"/>
      <c r="F12" s="215" t="s">
        <v>295</v>
      </c>
      <c r="G12" s="36" t="s">
        <v>587</v>
      </c>
      <c r="H12" s="36" t="s">
        <v>5809</v>
      </c>
      <c r="I12" s="36" t="s">
        <v>587</v>
      </c>
      <c r="J12" s="6" t="s">
        <v>5802</v>
      </c>
      <c r="K12" s="215" t="n">
        <v>3</v>
      </c>
      <c r="L12" s="215" t="s">
        <v>5373</v>
      </c>
      <c r="M12" s="6" t="s">
        <v>5803</v>
      </c>
      <c r="N12" s="215" t="s">
        <v>5505</v>
      </c>
      <c r="O12" s="36" t="s">
        <v>5376</v>
      </c>
      <c r="P12" s="36" t="s">
        <v>587</v>
      </c>
      <c r="Q12" s="36" t="s">
        <v>5810</v>
      </c>
      <c r="R12" s="36" t="s">
        <v>587</v>
      </c>
      <c r="S12" s="36" t="s">
        <v>587</v>
      </c>
      <c r="T12" s="36" t="s">
        <v>587</v>
      </c>
      <c r="U12" s="36" t="s">
        <v>5805</v>
      </c>
      <c r="V12" s="6" t="s">
        <v>5811</v>
      </c>
      <c r="W12" s="6" t="s">
        <v>5812</v>
      </c>
      <c r="X12" s="186" t="n">
        <f aca="false">IF($O12="Active",SUMPRODUCT(($AH$5:$AH$115=$AH12)*1),0)</f>
        <v>1</v>
      </c>
      <c r="Y12" s="186" t="n">
        <f aca="false">IF(AND($O12="Active",OR($Q12="—",$Q12="")),1,0)</f>
        <v>0</v>
      </c>
      <c r="Z12" s="186" t="n">
        <f aca="false">IF(AND($O12="Active",$L12="利害關係方",OR($R12="—",$R12="")),1,0)</f>
        <v>1</v>
      </c>
      <c r="AH12" s="35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6" t="s">
        <v>3676</v>
      </c>
      <c r="B13" s="6" t="s">
        <v>5813</v>
      </c>
      <c r="C13" s="217" t="n">
        <v>512</v>
      </c>
      <c r="D13" s="215"/>
      <c r="E13" s="215"/>
      <c r="F13" s="215" t="s">
        <v>5791</v>
      </c>
      <c r="G13" s="215" t="s">
        <v>5814</v>
      </c>
      <c r="H13" s="36" t="s">
        <v>5815</v>
      </c>
      <c r="I13" s="36" t="s">
        <v>587</v>
      </c>
      <c r="J13" s="6" t="s">
        <v>5802</v>
      </c>
      <c r="K13" s="215" t="n">
        <v>1</v>
      </c>
      <c r="L13" s="215" t="s">
        <v>5373</v>
      </c>
      <c r="M13" s="6" t="s">
        <v>5803</v>
      </c>
      <c r="N13" s="215" t="s">
        <v>5375</v>
      </c>
      <c r="O13" s="36" t="s">
        <v>5376</v>
      </c>
      <c r="P13" s="36" t="s">
        <v>587</v>
      </c>
      <c r="Q13" s="36" t="s">
        <v>5816</v>
      </c>
      <c r="R13" s="36" t="s">
        <v>587</v>
      </c>
      <c r="S13" s="36" t="s">
        <v>5154</v>
      </c>
      <c r="T13" s="36" t="s">
        <v>587</v>
      </c>
      <c r="U13" s="36" t="s">
        <v>5805</v>
      </c>
      <c r="V13" s="6" t="s">
        <v>5817</v>
      </c>
      <c r="W13" s="6" t="s">
        <v>5818</v>
      </c>
      <c r="X13" s="186" t="n">
        <f aca="false">IF($O13="Active",SUMPRODUCT(($AH$5:$AH$115=$AH13)*1),0)</f>
        <v>1</v>
      </c>
      <c r="Y13" s="186" t="n">
        <f aca="false">IF(AND($O13="Active",OR($Q13="—",$Q13="")),1,0)</f>
        <v>0</v>
      </c>
      <c r="Z13" s="186" t="n">
        <f aca="false">IF(AND($O13="Active",$L13="利害關係方",OR($R13="—",$R13="")),1,0)</f>
        <v>1</v>
      </c>
      <c r="AH13" s="35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6" t="s">
        <v>3679</v>
      </c>
      <c r="B14" s="6" t="s">
        <v>5819</v>
      </c>
      <c r="C14" s="217" t="n">
        <v>256</v>
      </c>
      <c r="D14" s="215"/>
      <c r="E14" s="215"/>
      <c r="F14" s="215" t="s">
        <v>295</v>
      </c>
      <c r="G14" s="36" t="s">
        <v>587</v>
      </c>
      <c r="H14" s="36" t="s">
        <v>5801</v>
      </c>
      <c r="I14" s="36" t="s">
        <v>587</v>
      </c>
      <c r="J14" s="6" t="s">
        <v>5802</v>
      </c>
      <c r="K14" s="215" t="n">
        <v>1</v>
      </c>
      <c r="L14" s="215" t="s">
        <v>5373</v>
      </c>
      <c r="M14" s="6" t="s">
        <v>5803</v>
      </c>
      <c r="N14" s="215" t="s">
        <v>5375</v>
      </c>
      <c r="O14" s="36" t="s">
        <v>5376</v>
      </c>
      <c r="P14" s="36" t="s">
        <v>587</v>
      </c>
      <c r="Q14" s="36" t="s">
        <v>5820</v>
      </c>
      <c r="R14" s="36" t="s">
        <v>587</v>
      </c>
      <c r="S14" s="36" t="s">
        <v>5154</v>
      </c>
      <c r="T14" s="36" t="s">
        <v>587</v>
      </c>
      <c r="U14" s="36" t="s">
        <v>5805</v>
      </c>
      <c r="V14" s="6" t="s">
        <v>5821</v>
      </c>
      <c r="W14" s="6" t="s">
        <v>5822</v>
      </c>
      <c r="X14" s="186" t="n">
        <f aca="false">IF($O14="Active",SUMPRODUCT(($AH$5:$AH$115=$AH14)*1),0)</f>
        <v>1</v>
      </c>
      <c r="Y14" s="186" t="n">
        <f aca="false">IF(AND($O14="Active",OR($Q14="—",$Q14="")),1,0)</f>
        <v>0</v>
      </c>
      <c r="Z14" s="186" t="n">
        <f aca="false">IF(AND($O14="Active",$L14="利害關係方",OR($R14="—",$R14="")),1,0)</f>
        <v>1</v>
      </c>
      <c r="AH14" s="35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6" t="s">
        <v>3681</v>
      </c>
      <c r="B15" s="6" t="s">
        <v>5823</v>
      </c>
      <c r="C15" s="217" t="n">
        <v>384</v>
      </c>
      <c r="D15" s="215"/>
      <c r="E15" s="215"/>
      <c r="F15" s="215" t="s">
        <v>295</v>
      </c>
      <c r="G15" s="36" t="s">
        <v>587</v>
      </c>
      <c r="H15" s="36" t="s">
        <v>5809</v>
      </c>
      <c r="I15" s="36" t="s">
        <v>587</v>
      </c>
      <c r="J15" s="6" t="s">
        <v>5802</v>
      </c>
      <c r="K15" s="215" t="n">
        <v>1</v>
      </c>
      <c r="L15" s="215" t="s">
        <v>5373</v>
      </c>
      <c r="M15" s="6" t="s">
        <v>5803</v>
      </c>
      <c r="N15" s="215" t="s">
        <v>5375</v>
      </c>
      <c r="O15" s="36" t="s">
        <v>5376</v>
      </c>
      <c r="P15" s="36" t="s">
        <v>587</v>
      </c>
      <c r="Q15" s="36" t="s">
        <v>5824</v>
      </c>
      <c r="R15" s="36" t="s">
        <v>587</v>
      </c>
      <c r="S15" s="36" t="s">
        <v>5154</v>
      </c>
      <c r="T15" s="36" t="s">
        <v>587</v>
      </c>
      <c r="U15" s="36" t="s">
        <v>5805</v>
      </c>
      <c r="V15" s="6" t="s">
        <v>5825</v>
      </c>
      <c r="W15" s="6" t="s">
        <v>5826</v>
      </c>
      <c r="X15" s="186" t="n">
        <f aca="false">IF($O15="Active",SUMPRODUCT(($AH$5:$AH$115=$AH15)*1),0)</f>
        <v>1</v>
      </c>
      <c r="Y15" s="186" t="n">
        <f aca="false">IF(AND($O15="Active",OR($Q15="—",$Q15="")),1,0)</f>
        <v>0</v>
      </c>
      <c r="Z15" s="186" t="n">
        <f aca="false">IF(AND($O15="Active",$L15="利害關係方",OR($R15="—",$R15="")),1,0)</f>
        <v>1</v>
      </c>
      <c r="AH15" s="35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6" t="s">
        <v>3684</v>
      </c>
      <c r="B16" s="6" t="s">
        <v>5827</v>
      </c>
      <c r="C16" s="217" t="n">
        <v>6</v>
      </c>
      <c r="D16" s="215"/>
      <c r="E16" s="215"/>
      <c r="F16" s="215" t="s">
        <v>295</v>
      </c>
      <c r="G16" s="36" t="s">
        <v>587</v>
      </c>
      <c r="H16" s="36" t="s">
        <v>5815</v>
      </c>
      <c r="I16" s="36" t="s">
        <v>587</v>
      </c>
      <c r="J16" s="6" t="s">
        <v>5802</v>
      </c>
      <c r="K16" s="215" t="n">
        <v>1</v>
      </c>
      <c r="L16" s="215" t="s">
        <v>5373</v>
      </c>
      <c r="M16" s="6" t="s">
        <v>5803</v>
      </c>
      <c r="N16" s="215" t="s">
        <v>5375</v>
      </c>
      <c r="O16" s="36" t="s">
        <v>5376</v>
      </c>
      <c r="P16" s="36" t="s">
        <v>587</v>
      </c>
      <c r="Q16" s="36" t="s">
        <v>5828</v>
      </c>
      <c r="R16" s="36" t="s">
        <v>587</v>
      </c>
      <c r="S16" s="36" t="s">
        <v>5154</v>
      </c>
      <c r="T16" s="36" t="s">
        <v>587</v>
      </c>
      <c r="U16" s="36" t="s">
        <v>5805</v>
      </c>
      <c r="V16" s="6" t="s">
        <v>5829</v>
      </c>
      <c r="W16" s="6" t="s">
        <v>5830</v>
      </c>
      <c r="X16" s="186" t="n">
        <f aca="false">IF($O16="Active",SUMPRODUCT(($AH$5:$AH$115=$AH16)*1),0)</f>
        <v>1</v>
      </c>
      <c r="Y16" s="186" t="n">
        <f aca="false">IF(AND($O16="Active",OR($Q16="—",$Q16="")),1,0)</f>
        <v>0</v>
      </c>
      <c r="Z16" s="186" t="n">
        <f aca="false">IF(AND($O16="Active",$L16="利害關係方",OR($R16="—",$R16="")),1,0)</f>
        <v>1</v>
      </c>
      <c r="AH16" s="35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6" t="s">
        <v>3688</v>
      </c>
      <c r="B17" s="6" t="s">
        <v>5831</v>
      </c>
      <c r="C17" s="217" t="n">
        <v>1</v>
      </c>
      <c r="D17" s="215"/>
      <c r="E17" s="215"/>
      <c r="F17" s="215" t="s">
        <v>295</v>
      </c>
      <c r="G17" s="36" t="s">
        <v>587</v>
      </c>
      <c r="H17" s="36" t="s">
        <v>5815</v>
      </c>
      <c r="I17" s="36" t="s">
        <v>587</v>
      </c>
      <c r="J17" s="6" t="s">
        <v>5802</v>
      </c>
      <c r="K17" s="215" t="n">
        <v>1</v>
      </c>
      <c r="L17" s="215" t="s">
        <v>5373</v>
      </c>
      <c r="M17" s="6" t="s">
        <v>5803</v>
      </c>
      <c r="N17" s="215" t="s">
        <v>5375</v>
      </c>
      <c r="O17" s="36" t="s">
        <v>5376</v>
      </c>
      <c r="P17" s="36" t="s">
        <v>587</v>
      </c>
      <c r="Q17" s="36" t="s">
        <v>5832</v>
      </c>
      <c r="R17" s="36" t="s">
        <v>587</v>
      </c>
      <c r="S17" s="36" t="s">
        <v>5154</v>
      </c>
      <c r="T17" s="36" t="s">
        <v>587</v>
      </c>
      <c r="U17" s="36" t="s">
        <v>5805</v>
      </c>
      <c r="V17" s="6" t="s">
        <v>5833</v>
      </c>
      <c r="W17" s="6" t="s">
        <v>5834</v>
      </c>
      <c r="X17" s="186" t="n">
        <f aca="false">IF($O17="Active",SUMPRODUCT(($AH$5:$AH$115=$AH17)*1),0)</f>
        <v>1</v>
      </c>
      <c r="Y17" s="186" t="n">
        <f aca="false">IF(AND($O17="Active",OR($Q17="—",$Q17="")),1,0)</f>
        <v>0</v>
      </c>
      <c r="Z17" s="186" t="n">
        <f aca="false">IF(AND($O17="Active",$L17="利害關係方",OR($R17="—",$R17="")),1,0)</f>
        <v>1</v>
      </c>
      <c r="AH17" s="35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6" t="s">
        <v>3692</v>
      </c>
      <c r="B18" s="6" t="s">
        <v>5835</v>
      </c>
      <c r="C18" s="217" t="n">
        <v>129280</v>
      </c>
      <c r="D18" s="215"/>
      <c r="E18" s="215"/>
      <c r="F18" s="36" t="s">
        <v>5836</v>
      </c>
      <c r="G18" s="36" t="s">
        <v>587</v>
      </c>
      <c r="H18" s="36" t="s">
        <v>5815</v>
      </c>
      <c r="I18" s="36" t="s">
        <v>587</v>
      </c>
      <c r="J18" s="6" t="s">
        <v>5802</v>
      </c>
      <c r="K18" s="215" t="n">
        <v>1</v>
      </c>
      <c r="L18" s="215" t="s">
        <v>5373</v>
      </c>
      <c r="M18" s="6" t="s">
        <v>5803</v>
      </c>
      <c r="N18" s="215" t="s">
        <v>5375</v>
      </c>
      <c r="O18" s="36" t="s">
        <v>5376</v>
      </c>
      <c r="P18" s="36" t="s">
        <v>587</v>
      </c>
      <c r="Q18" s="36" t="s">
        <v>5837</v>
      </c>
      <c r="R18" s="36" t="s">
        <v>587</v>
      </c>
      <c r="S18" s="36" t="s">
        <v>5154</v>
      </c>
      <c r="T18" s="36" t="s">
        <v>587</v>
      </c>
      <c r="U18" s="36" t="s">
        <v>5805</v>
      </c>
      <c r="V18" s="6" t="s">
        <v>5838</v>
      </c>
      <c r="W18" s="6" t="s">
        <v>5839</v>
      </c>
      <c r="X18" s="186" t="n">
        <f aca="false">IF($O18="Active",SUMPRODUCT(($AH$5:$AH$115=$AH18)*1),0)</f>
        <v>1</v>
      </c>
      <c r="Y18" s="186" t="n">
        <f aca="false">IF(AND($O18="Active",OR($Q18="—",$Q18="")),1,0)</f>
        <v>0</v>
      </c>
      <c r="Z18" s="186" t="n">
        <f aca="false">IF(AND($O18="Active",$L18="利害關係方",OR($R18="—",$R18="")),1,0)</f>
        <v>1</v>
      </c>
      <c r="AH18" s="35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6" t="s">
        <v>3697</v>
      </c>
      <c r="B19" s="6" t="s">
        <v>5840</v>
      </c>
      <c r="C19" s="217" t="n">
        <v>0.512</v>
      </c>
      <c r="D19" s="215"/>
      <c r="E19" s="215"/>
      <c r="F19" s="36" t="s">
        <v>79</v>
      </c>
      <c r="G19" s="215" t="s">
        <v>5841</v>
      </c>
      <c r="H19" s="36" t="s">
        <v>5801</v>
      </c>
      <c r="I19" s="36" t="s">
        <v>587</v>
      </c>
      <c r="J19" s="6" t="s">
        <v>5802</v>
      </c>
      <c r="K19" s="215" t="n">
        <v>1</v>
      </c>
      <c r="L19" s="215" t="s">
        <v>5373</v>
      </c>
      <c r="M19" s="6" t="s">
        <v>5803</v>
      </c>
      <c r="N19" s="215" t="s">
        <v>5375</v>
      </c>
      <c r="O19" s="36" t="s">
        <v>5376</v>
      </c>
      <c r="P19" s="36" t="s">
        <v>587</v>
      </c>
      <c r="Q19" s="36" t="s">
        <v>5842</v>
      </c>
      <c r="R19" s="36" t="s">
        <v>587</v>
      </c>
      <c r="S19" s="36" t="s">
        <v>5154</v>
      </c>
      <c r="T19" s="36" t="s">
        <v>587</v>
      </c>
      <c r="U19" s="36" t="s">
        <v>5805</v>
      </c>
      <c r="V19" s="6" t="s">
        <v>5843</v>
      </c>
      <c r="W19" s="6" t="s">
        <v>5844</v>
      </c>
      <c r="X19" s="186" t="n">
        <f aca="false">IF($O19="Active",SUMPRODUCT(($AH$5:$AH$115=$AH19)*1),0)</f>
        <v>1</v>
      </c>
      <c r="Y19" s="186" t="n">
        <f aca="false">IF(AND($O19="Active",OR($Q19="—",$Q19="")),1,0)</f>
        <v>0</v>
      </c>
      <c r="Z19" s="186" t="n">
        <f aca="false">IF(AND($O19="Active",$L19="利害關係方",OR($R19="—",$R19="")),1,0)</f>
        <v>1</v>
      </c>
      <c r="AH19" s="35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6" t="s">
        <v>3701</v>
      </c>
      <c r="B20" s="6" t="s">
        <v>5845</v>
      </c>
      <c r="C20" s="217" t="n">
        <v>128</v>
      </c>
      <c r="D20" s="215"/>
      <c r="E20" s="215"/>
      <c r="F20" s="36" t="s">
        <v>83</v>
      </c>
      <c r="G20" s="36" t="s">
        <v>587</v>
      </c>
      <c r="H20" s="36" t="s">
        <v>5815</v>
      </c>
      <c r="I20" s="36" t="s">
        <v>587</v>
      </c>
      <c r="J20" s="6" t="s">
        <v>5802</v>
      </c>
      <c r="K20" s="215" t="n">
        <v>1</v>
      </c>
      <c r="L20" s="215" t="s">
        <v>5373</v>
      </c>
      <c r="M20" s="6" t="s">
        <v>5803</v>
      </c>
      <c r="N20" s="215" t="s">
        <v>5375</v>
      </c>
      <c r="O20" s="36" t="s">
        <v>5376</v>
      </c>
      <c r="P20" s="36" t="s">
        <v>587</v>
      </c>
      <c r="Q20" s="36" t="s">
        <v>5846</v>
      </c>
      <c r="R20" s="36" t="s">
        <v>587</v>
      </c>
      <c r="S20" s="36" t="s">
        <v>5154</v>
      </c>
      <c r="T20" s="36" t="s">
        <v>587</v>
      </c>
      <c r="U20" s="36" t="s">
        <v>5805</v>
      </c>
      <c r="V20" s="6" t="s">
        <v>5847</v>
      </c>
      <c r="W20" s="6" t="s">
        <v>5848</v>
      </c>
      <c r="X20" s="186" t="n">
        <f aca="false">IF($O20="Active",SUMPRODUCT(($AH$5:$AH$115=$AH20)*1),0)</f>
        <v>1</v>
      </c>
      <c r="Y20" s="186" t="n">
        <f aca="false">IF(AND($O20="Active",OR($Q20="—",$Q20="")),1,0)</f>
        <v>0</v>
      </c>
      <c r="Z20" s="186" t="n">
        <f aca="false">IF(AND($O20="Active",$L20="利害關係方",OR($R20="—",$R20="")),1,0)</f>
        <v>1</v>
      </c>
      <c r="AH20" s="35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6" t="s">
        <v>3705</v>
      </c>
      <c r="B21" s="6" t="s">
        <v>5849</v>
      </c>
      <c r="C21" s="217" t="n">
        <v>128</v>
      </c>
      <c r="D21" s="215"/>
      <c r="E21" s="215"/>
      <c r="F21" s="36" t="s">
        <v>257</v>
      </c>
      <c r="G21" s="36" t="s">
        <v>587</v>
      </c>
      <c r="H21" s="36" t="s">
        <v>5815</v>
      </c>
      <c r="I21" s="36" t="s">
        <v>587</v>
      </c>
      <c r="J21" s="6" t="s">
        <v>5802</v>
      </c>
      <c r="K21" s="215" t="n">
        <v>1</v>
      </c>
      <c r="L21" s="215" t="s">
        <v>5373</v>
      </c>
      <c r="M21" s="6" t="s">
        <v>5803</v>
      </c>
      <c r="N21" s="215" t="s">
        <v>5375</v>
      </c>
      <c r="O21" s="36" t="s">
        <v>5376</v>
      </c>
      <c r="P21" s="36" t="s">
        <v>587</v>
      </c>
      <c r="Q21" s="36" t="s">
        <v>5850</v>
      </c>
      <c r="R21" s="36" t="s">
        <v>587</v>
      </c>
      <c r="S21" s="36" t="s">
        <v>5154</v>
      </c>
      <c r="T21" s="36" t="s">
        <v>587</v>
      </c>
      <c r="U21" s="36" t="s">
        <v>5805</v>
      </c>
      <c r="V21" s="6" t="s">
        <v>5851</v>
      </c>
      <c r="W21" s="6" t="s">
        <v>5852</v>
      </c>
      <c r="X21" s="186" t="n">
        <f aca="false">IF($O21="Active",SUMPRODUCT(($AH$5:$AH$115=$AH21)*1),0)</f>
        <v>1</v>
      </c>
      <c r="Y21" s="186" t="n">
        <f aca="false">IF(AND($O21="Active",OR($Q21="—",$Q21="")),1,0)</f>
        <v>0</v>
      </c>
      <c r="Z21" s="186" t="n">
        <f aca="false">IF(AND($O21="Active",$L21="利害關係方",OR($R21="—",$R21="")),1,0)</f>
        <v>1</v>
      </c>
      <c r="AH21" s="35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6" t="s">
        <v>3720</v>
      </c>
      <c r="B22" s="6" t="s">
        <v>5853</v>
      </c>
      <c r="C22" s="217" t="n">
        <v>1024</v>
      </c>
      <c r="D22" s="215"/>
      <c r="E22" s="215"/>
      <c r="F22" s="215" t="s">
        <v>5854</v>
      </c>
      <c r="G22" s="36" t="s">
        <v>587</v>
      </c>
      <c r="H22" s="36" t="s">
        <v>5815</v>
      </c>
      <c r="I22" s="36" t="s">
        <v>587</v>
      </c>
      <c r="J22" s="6" t="s">
        <v>5802</v>
      </c>
      <c r="K22" s="215" t="n">
        <v>3</v>
      </c>
      <c r="L22" s="215" t="s">
        <v>5373</v>
      </c>
      <c r="M22" s="6" t="s">
        <v>5803</v>
      </c>
      <c r="N22" s="215" t="s">
        <v>5505</v>
      </c>
      <c r="O22" s="36" t="s">
        <v>5376</v>
      </c>
      <c r="P22" s="36" t="s">
        <v>587</v>
      </c>
      <c r="Q22" s="36" t="s">
        <v>5810</v>
      </c>
      <c r="R22" s="36" t="s">
        <v>587</v>
      </c>
      <c r="S22" s="36" t="s">
        <v>587</v>
      </c>
      <c r="T22" s="36" t="s">
        <v>587</v>
      </c>
      <c r="U22" s="36" t="s">
        <v>5805</v>
      </c>
      <c r="V22" s="6" t="s">
        <v>5855</v>
      </c>
      <c r="W22" s="6" t="s">
        <v>5856</v>
      </c>
      <c r="X22" s="186" t="n">
        <f aca="false">IF($O22="Active",SUMPRODUCT(($AH$5:$AH$115=$AH22)*1),0)</f>
        <v>1</v>
      </c>
      <c r="Y22" s="186" t="n">
        <f aca="false">IF(AND($O22="Active",OR($Q22="—",$Q22="")),1,0)</f>
        <v>0</v>
      </c>
      <c r="Z22" s="186" t="n">
        <f aca="false">IF(AND($O22="Active",$L22="利害關係方",OR($R22="—",$R22="")),1,0)</f>
        <v>1</v>
      </c>
      <c r="AH22" s="35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6" t="s">
        <v>5857</v>
      </c>
      <c r="B23" s="6" t="s">
        <v>5858</v>
      </c>
      <c r="C23" s="217" t="n">
        <v>4</v>
      </c>
      <c r="D23" s="215"/>
      <c r="E23" s="215"/>
      <c r="F23" s="36" t="s">
        <v>5859</v>
      </c>
      <c r="G23" s="36" t="s">
        <v>587</v>
      </c>
      <c r="H23" s="36" t="s">
        <v>5815</v>
      </c>
      <c r="I23" s="36" t="s">
        <v>587</v>
      </c>
      <c r="J23" s="6" t="s">
        <v>5802</v>
      </c>
      <c r="K23" s="215" t="n">
        <v>3</v>
      </c>
      <c r="L23" s="215" t="s">
        <v>5373</v>
      </c>
      <c r="M23" s="6" t="s">
        <v>5803</v>
      </c>
      <c r="N23" s="215" t="s">
        <v>5505</v>
      </c>
      <c r="O23" s="36" t="s">
        <v>5376</v>
      </c>
      <c r="P23" s="36" t="s">
        <v>587</v>
      </c>
      <c r="Q23" s="36" t="s">
        <v>5810</v>
      </c>
      <c r="R23" s="36" t="s">
        <v>587</v>
      </c>
      <c r="S23" s="36" t="s">
        <v>587</v>
      </c>
      <c r="T23" s="36" t="s">
        <v>587</v>
      </c>
      <c r="U23" s="36" t="s">
        <v>5805</v>
      </c>
      <c r="V23" s="6" t="s">
        <v>5855</v>
      </c>
      <c r="W23" s="6" t="s">
        <v>587</v>
      </c>
      <c r="X23" s="186" t="n">
        <f aca="false">IF($O23="Active",SUMPRODUCT(($AH$5:$AH$115=$AH23)*1),0)</f>
        <v>1</v>
      </c>
      <c r="Y23" s="186" t="n">
        <f aca="false">IF(AND($O23="Active",OR($Q23="—",$Q23="")),1,0)</f>
        <v>0</v>
      </c>
      <c r="Z23" s="186" t="n">
        <f aca="false">IF(AND($O23="Active",$L23="利害關係方",OR($R23="—",$R23="")),1,0)</f>
        <v>1</v>
      </c>
      <c r="AH23" s="35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6" t="s">
        <v>4044</v>
      </c>
      <c r="B24" s="6" t="s">
        <v>5860</v>
      </c>
      <c r="C24" s="217" t="n">
        <v>671</v>
      </c>
      <c r="D24" s="215"/>
      <c r="E24" s="215"/>
      <c r="F24" s="36" t="s">
        <v>236</v>
      </c>
      <c r="G24" s="36" t="s">
        <v>587</v>
      </c>
      <c r="H24" s="36" t="s">
        <v>5861</v>
      </c>
      <c r="I24" s="36" t="s">
        <v>587</v>
      </c>
      <c r="J24" s="6" t="s">
        <v>5802</v>
      </c>
      <c r="K24" s="215" t="n">
        <v>3</v>
      </c>
      <c r="L24" s="215" t="s">
        <v>5373</v>
      </c>
      <c r="M24" s="6" t="s">
        <v>5803</v>
      </c>
      <c r="N24" s="215" t="s">
        <v>5505</v>
      </c>
      <c r="O24" s="36" t="s">
        <v>5376</v>
      </c>
      <c r="P24" s="36" t="s">
        <v>587</v>
      </c>
      <c r="Q24" s="36" t="s">
        <v>5810</v>
      </c>
      <c r="R24" s="36" t="s">
        <v>587</v>
      </c>
      <c r="S24" s="36" t="s">
        <v>587</v>
      </c>
      <c r="T24" s="36" t="s">
        <v>587</v>
      </c>
      <c r="U24" s="36" t="s">
        <v>5805</v>
      </c>
      <c r="V24" s="6" t="s">
        <v>5862</v>
      </c>
      <c r="W24" s="6" t="s">
        <v>587</v>
      </c>
      <c r="X24" s="186" t="n">
        <f aca="false">IF($O24="Active",SUMPRODUCT(($AH$5:$AH$115=$AH24)*1),0)</f>
        <v>1</v>
      </c>
      <c r="Y24" s="186" t="n">
        <f aca="false">IF(AND($O24="Active",OR($Q24="—",$Q24="")),1,0)</f>
        <v>0</v>
      </c>
      <c r="Z24" s="186" t="n">
        <f aca="false">IF(AND($O24="Active",$L24="利害關係方",OR($R24="—",$R24="")),1,0)</f>
        <v>1</v>
      </c>
      <c r="AH24" s="35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6" t="s">
        <v>4047</v>
      </c>
      <c r="B25" s="6" t="s">
        <v>5863</v>
      </c>
      <c r="C25" s="217" t="n">
        <v>37</v>
      </c>
      <c r="D25" s="215"/>
      <c r="E25" s="215"/>
      <c r="F25" s="36" t="s">
        <v>236</v>
      </c>
      <c r="G25" s="36" t="s">
        <v>587</v>
      </c>
      <c r="H25" s="36" t="s">
        <v>5861</v>
      </c>
      <c r="I25" s="36" t="s">
        <v>587</v>
      </c>
      <c r="J25" s="6" t="s">
        <v>5802</v>
      </c>
      <c r="K25" s="215" t="n">
        <v>3</v>
      </c>
      <c r="L25" s="215" t="s">
        <v>5373</v>
      </c>
      <c r="M25" s="6" t="s">
        <v>5803</v>
      </c>
      <c r="N25" s="215" t="s">
        <v>5505</v>
      </c>
      <c r="O25" s="36" t="s">
        <v>5376</v>
      </c>
      <c r="P25" s="36" t="s">
        <v>587</v>
      </c>
      <c r="Q25" s="36" t="s">
        <v>5810</v>
      </c>
      <c r="R25" s="36" t="s">
        <v>587</v>
      </c>
      <c r="S25" s="36" t="s">
        <v>587</v>
      </c>
      <c r="T25" s="36" t="s">
        <v>587</v>
      </c>
      <c r="U25" s="36" t="s">
        <v>5805</v>
      </c>
      <c r="V25" s="6" t="s">
        <v>5864</v>
      </c>
      <c r="W25" s="6" t="s">
        <v>587</v>
      </c>
      <c r="X25" s="186" t="n">
        <f aca="false">IF($O25="Active",SUMPRODUCT(($AH$5:$AH$115=$AH25)*1),0)</f>
        <v>1</v>
      </c>
      <c r="Y25" s="186" t="n">
        <f aca="false">IF(AND($O25="Active",OR($Q25="—",$Q25="")),1,0)</f>
        <v>0</v>
      </c>
      <c r="Z25" s="186" t="n">
        <f aca="false">IF(AND($O25="Active",$L25="利害關係方",OR($R25="—",$R25="")),1,0)</f>
        <v>1</v>
      </c>
      <c r="AH25" s="35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6" t="s">
        <v>4050</v>
      </c>
      <c r="B26" s="6" t="s">
        <v>5865</v>
      </c>
      <c r="C26" s="217" t="n">
        <v>61</v>
      </c>
      <c r="D26" s="215"/>
      <c r="E26" s="215"/>
      <c r="F26" s="215" t="s">
        <v>242</v>
      </c>
      <c r="G26" s="36" t="s">
        <v>587</v>
      </c>
      <c r="H26" s="36" t="s">
        <v>5861</v>
      </c>
      <c r="I26" s="36" t="s">
        <v>587</v>
      </c>
      <c r="J26" s="6" t="s">
        <v>5802</v>
      </c>
      <c r="K26" s="215" t="n">
        <v>3</v>
      </c>
      <c r="L26" s="215" t="s">
        <v>5373</v>
      </c>
      <c r="M26" s="6" t="s">
        <v>5803</v>
      </c>
      <c r="N26" s="215" t="s">
        <v>5505</v>
      </c>
      <c r="O26" s="36" t="s">
        <v>5376</v>
      </c>
      <c r="P26" s="36" t="s">
        <v>587</v>
      </c>
      <c r="Q26" s="36" t="s">
        <v>5810</v>
      </c>
      <c r="R26" s="36" t="s">
        <v>587</v>
      </c>
      <c r="S26" s="36" t="s">
        <v>587</v>
      </c>
      <c r="T26" s="36" t="s">
        <v>587</v>
      </c>
      <c r="U26" s="36" t="s">
        <v>5805</v>
      </c>
      <c r="V26" s="6" t="s">
        <v>5866</v>
      </c>
      <c r="W26" s="6" t="s">
        <v>587</v>
      </c>
      <c r="X26" s="186" t="n">
        <f aca="false">IF($O26="Active",SUMPRODUCT(($AH$5:$AH$115=$AH26)*1),0)</f>
        <v>1</v>
      </c>
      <c r="Y26" s="186" t="n">
        <f aca="false">IF(AND($O26="Active",OR($Q26="—",$Q26="")),1,0)</f>
        <v>0</v>
      </c>
      <c r="Z26" s="186" t="n">
        <f aca="false">IF(AND($O26="Active",$L26="利害關係方",OR($R26="—",$R26="")),1,0)</f>
        <v>1</v>
      </c>
      <c r="AH26" s="35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6" t="s">
        <v>4053</v>
      </c>
      <c r="B27" s="6" t="s">
        <v>5867</v>
      </c>
      <c r="C27" s="217" t="n">
        <v>7168</v>
      </c>
      <c r="D27" s="215"/>
      <c r="E27" s="215"/>
      <c r="F27" s="215" t="s">
        <v>5791</v>
      </c>
      <c r="G27" s="36" t="s">
        <v>587</v>
      </c>
      <c r="H27" s="36" t="s">
        <v>5861</v>
      </c>
      <c r="I27" s="36" t="s">
        <v>587</v>
      </c>
      <c r="J27" s="6" t="s">
        <v>5802</v>
      </c>
      <c r="K27" s="215" t="n">
        <v>3</v>
      </c>
      <c r="L27" s="215" t="s">
        <v>5373</v>
      </c>
      <c r="M27" s="6" t="s">
        <v>5803</v>
      </c>
      <c r="N27" s="215" t="s">
        <v>5505</v>
      </c>
      <c r="O27" s="36" t="s">
        <v>5376</v>
      </c>
      <c r="P27" s="36" t="s">
        <v>587</v>
      </c>
      <c r="Q27" s="36" t="s">
        <v>5810</v>
      </c>
      <c r="R27" s="36" t="s">
        <v>587</v>
      </c>
      <c r="S27" s="36" t="s">
        <v>587</v>
      </c>
      <c r="T27" s="36" t="s">
        <v>587</v>
      </c>
      <c r="U27" s="36" t="s">
        <v>5805</v>
      </c>
      <c r="V27" s="6" t="s">
        <v>5868</v>
      </c>
      <c r="W27" s="6" t="s">
        <v>587</v>
      </c>
      <c r="X27" s="186" t="n">
        <f aca="false">IF($O27="Active",SUMPRODUCT(($AH$5:$AH$115=$AH27)*1),0)</f>
        <v>1</v>
      </c>
      <c r="Y27" s="186" t="n">
        <f aca="false">IF(AND($O27="Active",OR($Q27="—",$Q27="")),1,0)</f>
        <v>0</v>
      </c>
      <c r="Z27" s="186" t="n">
        <f aca="false">IF(AND($O27="Active",$L27="利害關係方",OR($R27="—",$R27="")),1,0)</f>
        <v>1</v>
      </c>
      <c r="AH27" s="35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6" t="s">
        <v>4056</v>
      </c>
      <c r="B28" s="6" t="s">
        <v>5869</v>
      </c>
      <c r="C28" s="217" t="n">
        <v>256</v>
      </c>
      <c r="D28" s="215"/>
      <c r="E28" s="215"/>
      <c r="F28" s="215" t="s">
        <v>295</v>
      </c>
      <c r="G28" s="36" t="s">
        <v>587</v>
      </c>
      <c r="H28" s="36" t="s">
        <v>5861</v>
      </c>
      <c r="I28" s="36" t="s">
        <v>587</v>
      </c>
      <c r="J28" s="6" t="s">
        <v>5802</v>
      </c>
      <c r="K28" s="215" t="n">
        <v>3</v>
      </c>
      <c r="L28" s="215" t="s">
        <v>5373</v>
      </c>
      <c r="M28" s="6" t="s">
        <v>5803</v>
      </c>
      <c r="N28" s="215" t="s">
        <v>5505</v>
      </c>
      <c r="O28" s="36" t="s">
        <v>5376</v>
      </c>
      <c r="P28" s="36" t="s">
        <v>587</v>
      </c>
      <c r="Q28" s="36" t="s">
        <v>5810</v>
      </c>
      <c r="R28" s="36" t="s">
        <v>587</v>
      </c>
      <c r="S28" s="36" t="s">
        <v>587</v>
      </c>
      <c r="T28" s="36" t="s">
        <v>587</v>
      </c>
      <c r="U28" s="36" t="s">
        <v>5805</v>
      </c>
      <c r="V28" s="6" t="s">
        <v>5870</v>
      </c>
      <c r="W28" s="6" t="s">
        <v>587</v>
      </c>
      <c r="X28" s="186" t="n">
        <f aca="false">IF($O28="Active",SUMPRODUCT(($AH$5:$AH$115=$AH28)*1),0)</f>
        <v>1</v>
      </c>
      <c r="Y28" s="186" t="n">
        <f aca="false">IF(AND($O28="Active",OR($Q28="—",$Q28="")),1,0)</f>
        <v>0</v>
      </c>
      <c r="Z28" s="186" t="n">
        <f aca="false">IF(AND($O28="Active",$L28="利害關係方",OR($R28="—",$R28="")),1,0)</f>
        <v>1</v>
      </c>
      <c r="AH28" s="35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6" t="s">
        <v>4060</v>
      </c>
      <c r="B29" s="6" t="s">
        <v>5871</v>
      </c>
      <c r="C29" s="217" t="n">
        <v>8</v>
      </c>
      <c r="D29" s="215"/>
      <c r="E29" s="215"/>
      <c r="F29" s="215" t="s">
        <v>295</v>
      </c>
      <c r="G29" s="36" t="s">
        <v>587</v>
      </c>
      <c r="H29" s="36" t="s">
        <v>5861</v>
      </c>
      <c r="I29" s="36" t="s">
        <v>587</v>
      </c>
      <c r="J29" s="6" t="s">
        <v>5802</v>
      </c>
      <c r="K29" s="215" t="n">
        <v>3</v>
      </c>
      <c r="L29" s="215" t="s">
        <v>5373</v>
      </c>
      <c r="M29" s="6" t="s">
        <v>5803</v>
      </c>
      <c r="N29" s="215" t="s">
        <v>5505</v>
      </c>
      <c r="O29" s="36" t="s">
        <v>5376</v>
      </c>
      <c r="P29" s="36" t="s">
        <v>587</v>
      </c>
      <c r="Q29" s="36" t="s">
        <v>5810</v>
      </c>
      <c r="R29" s="36" t="s">
        <v>587</v>
      </c>
      <c r="S29" s="36" t="s">
        <v>587</v>
      </c>
      <c r="T29" s="36" t="s">
        <v>587</v>
      </c>
      <c r="U29" s="36" t="s">
        <v>5805</v>
      </c>
      <c r="V29" s="6" t="s">
        <v>5872</v>
      </c>
      <c r="W29" s="6" t="s">
        <v>587</v>
      </c>
      <c r="X29" s="186" t="n">
        <f aca="false">IF($O29="Active",SUMPRODUCT(($AH$5:$AH$115=$AH29)*1),0)</f>
        <v>1</v>
      </c>
      <c r="Y29" s="186" t="n">
        <f aca="false">IF(AND($O29="Active",OR($Q29="—",$Q29="")),1,0)</f>
        <v>0</v>
      </c>
      <c r="Z29" s="186" t="n">
        <f aca="false">IF(AND($O29="Active",$L29="利害關係方",OR($R29="—",$R29="")),1,0)</f>
        <v>1</v>
      </c>
      <c r="AH29" s="35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6" t="s">
        <v>4063</v>
      </c>
      <c r="B30" s="6" t="s">
        <v>5873</v>
      </c>
      <c r="C30" s="217" t="n">
        <v>1</v>
      </c>
      <c r="D30" s="215"/>
      <c r="E30" s="215"/>
      <c r="F30" s="215" t="s">
        <v>295</v>
      </c>
      <c r="G30" s="36" t="s">
        <v>587</v>
      </c>
      <c r="H30" s="36" t="s">
        <v>5861</v>
      </c>
      <c r="I30" s="36" t="s">
        <v>587</v>
      </c>
      <c r="J30" s="6" t="s">
        <v>5802</v>
      </c>
      <c r="K30" s="215" t="n">
        <v>3</v>
      </c>
      <c r="L30" s="215" t="s">
        <v>5373</v>
      </c>
      <c r="M30" s="6" t="s">
        <v>5803</v>
      </c>
      <c r="N30" s="215" t="s">
        <v>5505</v>
      </c>
      <c r="O30" s="36" t="s">
        <v>5376</v>
      </c>
      <c r="P30" s="36" t="s">
        <v>587</v>
      </c>
      <c r="Q30" s="36" t="s">
        <v>5810</v>
      </c>
      <c r="R30" s="36" t="s">
        <v>587</v>
      </c>
      <c r="S30" s="36" t="s">
        <v>587</v>
      </c>
      <c r="T30" s="36" t="s">
        <v>587</v>
      </c>
      <c r="U30" s="36" t="s">
        <v>5805</v>
      </c>
      <c r="V30" s="6" t="s">
        <v>5874</v>
      </c>
      <c r="W30" s="6" t="s">
        <v>587</v>
      </c>
      <c r="X30" s="186" t="n">
        <f aca="false">IF($O30="Active",SUMPRODUCT(($AH$5:$AH$115=$AH30)*1),0)</f>
        <v>1</v>
      </c>
      <c r="Y30" s="186" t="n">
        <f aca="false">IF(AND($O30="Active",OR($Q30="—",$Q30="")),1,0)</f>
        <v>0</v>
      </c>
      <c r="Z30" s="186" t="n">
        <f aca="false">IF(AND($O30="Active",$L30="利害關係方",OR($R30="—",$R30="")),1,0)</f>
        <v>1</v>
      </c>
      <c r="AH30" s="35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6" t="s">
        <v>4066</v>
      </c>
      <c r="B31" s="6" t="s">
        <v>5875</v>
      </c>
      <c r="C31" s="217" t="n">
        <v>129280</v>
      </c>
      <c r="D31" s="215"/>
      <c r="E31" s="215"/>
      <c r="F31" s="36" t="s">
        <v>5836</v>
      </c>
      <c r="G31" s="36" t="s">
        <v>587</v>
      </c>
      <c r="H31" s="36" t="s">
        <v>5861</v>
      </c>
      <c r="I31" s="36" t="s">
        <v>587</v>
      </c>
      <c r="J31" s="6" t="s">
        <v>5802</v>
      </c>
      <c r="K31" s="215" t="n">
        <v>3</v>
      </c>
      <c r="L31" s="215" t="s">
        <v>5373</v>
      </c>
      <c r="M31" s="6" t="s">
        <v>5803</v>
      </c>
      <c r="N31" s="215" t="s">
        <v>5505</v>
      </c>
      <c r="O31" s="36" t="s">
        <v>5376</v>
      </c>
      <c r="P31" s="36" t="s">
        <v>587</v>
      </c>
      <c r="Q31" s="36" t="s">
        <v>5810</v>
      </c>
      <c r="R31" s="36" t="s">
        <v>587</v>
      </c>
      <c r="S31" s="36" t="s">
        <v>587</v>
      </c>
      <c r="T31" s="36" t="s">
        <v>587</v>
      </c>
      <c r="U31" s="36" t="s">
        <v>5805</v>
      </c>
      <c r="V31" s="6" t="s">
        <v>5876</v>
      </c>
      <c r="W31" s="6" t="s">
        <v>587</v>
      </c>
      <c r="X31" s="186" t="n">
        <f aca="false">IF($O31="Active",SUMPRODUCT(($AH$5:$AH$115=$AH31)*1),0)</f>
        <v>1</v>
      </c>
      <c r="Y31" s="186" t="n">
        <f aca="false">IF(AND($O31="Active",OR($Q31="—",$Q31="")),1,0)</f>
        <v>0</v>
      </c>
      <c r="Z31" s="186" t="n">
        <f aca="false">IF(AND($O31="Active",$L31="利害關係方",OR($R31="—",$R31="")),1,0)</f>
        <v>1</v>
      </c>
      <c r="AH31" s="35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6" t="s">
        <v>4069</v>
      </c>
      <c r="B32" s="6" t="s">
        <v>5877</v>
      </c>
      <c r="C32" s="217" t="n">
        <v>576</v>
      </c>
      <c r="D32" s="215"/>
      <c r="E32" s="215"/>
      <c r="F32" s="215" t="s">
        <v>5791</v>
      </c>
      <c r="G32" s="36" t="s">
        <v>5878</v>
      </c>
      <c r="H32" s="36" t="s">
        <v>5861</v>
      </c>
      <c r="I32" s="36" t="s">
        <v>587</v>
      </c>
      <c r="J32" s="6" t="s">
        <v>5802</v>
      </c>
      <c r="K32" s="215" t="n">
        <v>3</v>
      </c>
      <c r="L32" s="215" t="s">
        <v>5373</v>
      </c>
      <c r="M32" s="6" t="s">
        <v>5803</v>
      </c>
      <c r="N32" s="215" t="s">
        <v>5505</v>
      </c>
      <c r="O32" s="36" t="s">
        <v>5376</v>
      </c>
      <c r="P32" s="36" t="s">
        <v>587</v>
      </c>
      <c r="Q32" s="36" t="s">
        <v>5810</v>
      </c>
      <c r="R32" s="36" t="s">
        <v>587</v>
      </c>
      <c r="S32" s="36" t="s">
        <v>587</v>
      </c>
      <c r="T32" s="36" t="s">
        <v>587</v>
      </c>
      <c r="U32" s="36" t="s">
        <v>5805</v>
      </c>
      <c r="V32" s="6" t="s">
        <v>5879</v>
      </c>
      <c r="W32" s="6" t="s">
        <v>5880</v>
      </c>
      <c r="X32" s="186" t="n">
        <f aca="false">IF($O32="Active",SUMPRODUCT(($AH$5:$AH$115=$AH32)*1),0)</f>
        <v>1</v>
      </c>
      <c r="Y32" s="186" t="n">
        <f aca="false">IF(AND($O32="Active",OR($Q32="—",$Q32="")),1,0)</f>
        <v>0</v>
      </c>
      <c r="Z32" s="186" t="n">
        <f aca="false">IF(AND($O32="Active",$L32="利害關係方",OR($R32="—",$R32="")),1,0)</f>
        <v>1</v>
      </c>
      <c r="AH32" s="35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6" t="s">
        <v>4199</v>
      </c>
      <c r="B33" s="6" t="s">
        <v>5881</v>
      </c>
      <c r="C33" s="217" t="n">
        <v>32</v>
      </c>
      <c r="D33" s="215"/>
      <c r="E33" s="215"/>
      <c r="F33" s="36" t="s">
        <v>920</v>
      </c>
      <c r="G33" s="36" t="s">
        <v>587</v>
      </c>
      <c r="H33" s="36" t="s">
        <v>5794</v>
      </c>
      <c r="I33" s="36" t="s">
        <v>5397</v>
      </c>
      <c r="J33" s="6" t="s">
        <v>5882</v>
      </c>
      <c r="K33" s="215" t="n">
        <v>1</v>
      </c>
      <c r="L33" s="215" t="s">
        <v>5373</v>
      </c>
      <c r="M33" s="6" t="s">
        <v>5883</v>
      </c>
      <c r="N33" s="215" t="s">
        <v>5884</v>
      </c>
      <c r="O33" s="36" t="s">
        <v>5376</v>
      </c>
      <c r="P33" s="36" t="s">
        <v>587</v>
      </c>
      <c r="Q33" s="36" t="s">
        <v>5885</v>
      </c>
      <c r="R33" s="36" t="s">
        <v>587</v>
      </c>
      <c r="S33" s="36" t="s">
        <v>587</v>
      </c>
      <c r="T33" s="36" t="s">
        <v>587</v>
      </c>
      <c r="U33" s="36" t="s">
        <v>5886</v>
      </c>
      <c r="V33" s="6" t="s">
        <v>5887</v>
      </c>
      <c r="W33" s="6" t="s">
        <v>587</v>
      </c>
      <c r="X33" s="186" t="n">
        <f aca="false">IF($O33="Active",SUMPRODUCT(($AH$5:$AH$115=$AH33)*1),0)</f>
        <v>1</v>
      </c>
      <c r="Y33" s="186" t="n">
        <f aca="false">IF(AND($O33="Active",OR($Q33="—",$Q33="")),1,0)</f>
        <v>0</v>
      </c>
      <c r="Z33" s="186" t="n">
        <f aca="false">IF(AND($O33="Active",$L33="利害關係方",OR($R33="—",$R33="")),1,0)</f>
        <v>1</v>
      </c>
      <c r="AH33" s="35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6" t="s">
        <v>4201</v>
      </c>
      <c r="B34" s="6" t="s">
        <v>5888</v>
      </c>
      <c r="C34" s="217" t="n">
        <v>33</v>
      </c>
      <c r="D34" s="215"/>
      <c r="E34" s="215"/>
      <c r="F34" s="36" t="s">
        <v>920</v>
      </c>
      <c r="G34" s="36" t="s">
        <v>587</v>
      </c>
      <c r="H34" s="36" t="s">
        <v>5778</v>
      </c>
      <c r="I34" s="36" t="s">
        <v>5397</v>
      </c>
      <c r="J34" s="6" t="s">
        <v>5882</v>
      </c>
      <c r="K34" s="215" t="n">
        <v>1</v>
      </c>
      <c r="L34" s="215" t="s">
        <v>5373</v>
      </c>
      <c r="M34" s="6" t="s">
        <v>5883</v>
      </c>
      <c r="N34" s="215" t="s">
        <v>5884</v>
      </c>
      <c r="O34" s="36" t="s">
        <v>5376</v>
      </c>
      <c r="P34" s="36" t="s">
        <v>587</v>
      </c>
      <c r="Q34" s="36" t="s">
        <v>5885</v>
      </c>
      <c r="R34" s="36" t="s">
        <v>587</v>
      </c>
      <c r="S34" s="36" t="s">
        <v>587</v>
      </c>
      <c r="T34" s="36" t="s">
        <v>587</v>
      </c>
      <c r="U34" s="36" t="s">
        <v>5886</v>
      </c>
      <c r="V34" s="6" t="s">
        <v>5889</v>
      </c>
      <c r="W34" s="6" t="s">
        <v>587</v>
      </c>
      <c r="X34" s="186" t="n">
        <f aca="false">IF($O34="Active",SUMPRODUCT(($AH$5:$AH$115=$AH34)*1),0)</f>
        <v>1</v>
      </c>
      <c r="Y34" s="186" t="n">
        <f aca="false">IF(AND($O34="Active",OR($Q34="—",$Q34="")),1,0)</f>
        <v>0</v>
      </c>
      <c r="Z34" s="186" t="n">
        <f aca="false">IF(AND($O34="Active",$L34="利害關係方",OR($R34="—",$R34="")),1,0)</f>
        <v>1</v>
      </c>
      <c r="AH34" s="35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6" t="s">
        <v>4204</v>
      </c>
      <c r="B35" s="6" t="s">
        <v>5890</v>
      </c>
      <c r="C35" s="217" t="n">
        <v>4096</v>
      </c>
      <c r="D35" s="215"/>
      <c r="E35" s="215"/>
      <c r="F35" s="36" t="s">
        <v>257</v>
      </c>
      <c r="G35" s="36" t="s">
        <v>5891</v>
      </c>
      <c r="H35" s="36" t="s">
        <v>5815</v>
      </c>
      <c r="I35" s="36" t="s">
        <v>5397</v>
      </c>
      <c r="J35" s="6" t="s">
        <v>5882</v>
      </c>
      <c r="K35" s="215" t="n">
        <v>1</v>
      </c>
      <c r="L35" s="215" t="s">
        <v>5373</v>
      </c>
      <c r="M35" s="6" t="s">
        <v>5883</v>
      </c>
      <c r="N35" s="215" t="s">
        <v>5884</v>
      </c>
      <c r="O35" s="36" t="s">
        <v>5376</v>
      </c>
      <c r="P35" s="36" t="s">
        <v>587</v>
      </c>
      <c r="Q35" s="36" t="s">
        <v>5885</v>
      </c>
      <c r="R35" s="36" t="s">
        <v>587</v>
      </c>
      <c r="S35" s="36" t="s">
        <v>587</v>
      </c>
      <c r="T35" s="36" t="s">
        <v>587</v>
      </c>
      <c r="U35" s="36" t="s">
        <v>5886</v>
      </c>
      <c r="V35" s="6" t="s">
        <v>5892</v>
      </c>
      <c r="W35" s="6" t="s">
        <v>587</v>
      </c>
      <c r="X35" s="186" t="n">
        <f aca="false">IF($O35="Active",SUMPRODUCT(($AH$5:$AH$115=$AH35)*1),0)</f>
        <v>1</v>
      </c>
      <c r="Y35" s="186" t="n">
        <f aca="false">IF(AND($O35="Active",OR($Q35="—",$Q35="")),1,0)</f>
        <v>0</v>
      </c>
      <c r="Z35" s="186" t="n">
        <f aca="false">IF(AND($O35="Active",$L35="利害關係方",OR($R35="—",$R35="")),1,0)</f>
        <v>1</v>
      </c>
      <c r="AH35" s="35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6" t="s">
        <v>5893</v>
      </c>
      <c r="B36" s="6" t="s">
        <v>5894</v>
      </c>
      <c r="C36" s="217" t="n">
        <v>16384</v>
      </c>
      <c r="D36" s="215"/>
      <c r="E36" s="215"/>
      <c r="F36" s="36" t="s">
        <v>257</v>
      </c>
      <c r="G36" s="215" t="s">
        <v>5895</v>
      </c>
      <c r="H36" s="36" t="s">
        <v>5815</v>
      </c>
      <c r="I36" s="36" t="s">
        <v>5397</v>
      </c>
      <c r="J36" s="6" t="s">
        <v>5882</v>
      </c>
      <c r="K36" s="215" t="n">
        <v>1</v>
      </c>
      <c r="L36" s="215" t="s">
        <v>5373</v>
      </c>
      <c r="M36" s="6" t="s">
        <v>5883</v>
      </c>
      <c r="N36" s="215" t="s">
        <v>5884</v>
      </c>
      <c r="O36" s="36" t="s">
        <v>5376</v>
      </c>
      <c r="P36" s="36" t="s">
        <v>587</v>
      </c>
      <c r="Q36" s="36" t="s">
        <v>5885</v>
      </c>
      <c r="R36" s="36" t="s">
        <v>587</v>
      </c>
      <c r="S36" s="36" t="s">
        <v>587</v>
      </c>
      <c r="T36" s="36" t="s">
        <v>587</v>
      </c>
      <c r="U36" s="36" t="s">
        <v>5886</v>
      </c>
      <c r="V36" s="6" t="s">
        <v>587</v>
      </c>
      <c r="W36" s="6" t="s">
        <v>587</v>
      </c>
      <c r="X36" s="186" t="n">
        <f aca="false">IF($O36="Active",SUMPRODUCT(($AH$5:$AH$115=$AH36)*1),0)</f>
        <v>1</v>
      </c>
      <c r="Y36" s="186" t="n">
        <f aca="false">IF(AND($O36="Active",OR($Q36="—",$Q36="")),1,0)</f>
        <v>0</v>
      </c>
      <c r="Z36" s="186" t="n">
        <f aca="false">IF(AND($O36="Active",$L36="利害關係方",OR($R36="—",$R36="")),1,0)</f>
        <v>1</v>
      </c>
      <c r="AH36" s="35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6" t="s">
        <v>4654</v>
      </c>
      <c r="B37" s="6" t="s">
        <v>5896</v>
      </c>
      <c r="C37" s="217" t="n">
        <v>4.6E+026</v>
      </c>
      <c r="D37" s="215"/>
      <c r="E37" s="215"/>
      <c r="F37" s="36" t="s">
        <v>280</v>
      </c>
      <c r="G37" s="215" t="s">
        <v>5897</v>
      </c>
      <c r="H37" s="36" t="s">
        <v>5898</v>
      </c>
      <c r="I37" s="36" t="s">
        <v>5899</v>
      </c>
      <c r="J37" s="6" t="s">
        <v>5900</v>
      </c>
      <c r="K37" s="215" t="n">
        <v>1</v>
      </c>
      <c r="L37" s="215" t="s">
        <v>5477</v>
      </c>
      <c r="M37" s="6" t="s">
        <v>5901</v>
      </c>
      <c r="N37" s="215" t="s">
        <v>5902</v>
      </c>
      <c r="O37" s="36" t="s">
        <v>5376</v>
      </c>
      <c r="P37" s="36" t="s">
        <v>587</v>
      </c>
      <c r="Q37" s="36" t="s">
        <v>5903</v>
      </c>
      <c r="R37" s="36" t="s">
        <v>587</v>
      </c>
      <c r="S37" s="36" t="s">
        <v>587</v>
      </c>
      <c r="T37" s="36" t="s">
        <v>587</v>
      </c>
      <c r="U37" s="36" t="s">
        <v>5904</v>
      </c>
      <c r="V37" s="6" t="s">
        <v>5905</v>
      </c>
      <c r="W37" s="19" t="s">
        <v>5906</v>
      </c>
      <c r="X37" s="186" t="n">
        <f aca="false">IF($O37="Active",SUMPRODUCT(($AH$5:$AH$115=$AH37)*1),0)</f>
        <v>1</v>
      </c>
      <c r="Y37" s="186" t="n">
        <f aca="false">IF(AND($O37="Active",OR($Q37="—",$Q37="")),1,0)</f>
        <v>0</v>
      </c>
      <c r="Z37" s="186" t="n">
        <f aca="false">IF(AND($O37="Active",$L37="利害關係方",OR($R37="—",$R37="")),1,0)</f>
        <v>0</v>
      </c>
      <c r="AH37" s="35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6" t="s">
        <v>2418</v>
      </c>
      <c r="B38" s="6" t="s">
        <v>5907</v>
      </c>
      <c r="C38" s="217" t="n">
        <v>0.147</v>
      </c>
      <c r="D38" s="215"/>
      <c r="E38" s="215"/>
      <c r="F38" s="36" t="s">
        <v>5908</v>
      </c>
      <c r="G38" s="36" t="s">
        <v>5909</v>
      </c>
      <c r="H38" s="36" t="s">
        <v>5910</v>
      </c>
      <c r="I38" s="36" t="s">
        <v>5911</v>
      </c>
      <c r="J38" s="6" t="s">
        <v>5912</v>
      </c>
      <c r="K38" s="215" t="n">
        <v>2</v>
      </c>
      <c r="L38" s="215" t="s">
        <v>5373</v>
      </c>
      <c r="M38" s="6" t="s">
        <v>5913</v>
      </c>
      <c r="N38" s="215" t="s">
        <v>5386</v>
      </c>
      <c r="O38" s="36" t="s">
        <v>5376</v>
      </c>
      <c r="P38" s="36" t="s">
        <v>587</v>
      </c>
      <c r="Q38" s="36" t="s">
        <v>5914</v>
      </c>
      <c r="R38" s="36" t="s">
        <v>587</v>
      </c>
      <c r="S38" s="36" t="s">
        <v>587</v>
      </c>
      <c r="T38" s="36" t="s">
        <v>587</v>
      </c>
      <c r="U38" s="36" t="s">
        <v>5915</v>
      </c>
      <c r="V38" s="6" t="s">
        <v>5916</v>
      </c>
      <c r="W38" s="6" t="s">
        <v>5917</v>
      </c>
      <c r="X38" s="186" t="n">
        <f aca="false">IF($O38="Active",SUMPRODUCT(($AH$5:$AH$115=$AH38)*1),0)</f>
        <v>1</v>
      </c>
      <c r="Y38" s="186" t="n">
        <f aca="false">IF(AND($O38="Active",OR($Q38="—",$Q38="")),1,0)</f>
        <v>0</v>
      </c>
      <c r="Z38" s="186" t="n">
        <f aca="false">IF(AND($O38="Active",$L38="利害關係方",OR($R38="—",$R38="")),1,0)</f>
        <v>1</v>
      </c>
      <c r="AH38" s="35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6" t="s">
        <v>5918</v>
      </c>
      <c r="B39" s="6" t="s">
        <v>5919</v>
      </c>
      <c r="C39" s="217" t="n">
        <v>0.14</v>
      </c>
      <c r="D39" s="215"/>
      <c r="E39" s="215"/>
      <c r="F39" s="36" t="s">
        <v>5920</v>
      </c>
      <c r="G39" s="215" t="s">
        <v>5921</v>
      </c>
      <c r="H39" s="36" t="s">
        <v>5922</v>
      </c>
      <c r="I39" s="36" t="s">
        <v>5923</v>
      </c>
      <c r="J39" s="6" t="s">
        <v>5924</v>
      </c>
      <c r="K39" s="215" t="n">
        <v>2</v>
      </c>
      <c r="L39" s="215" t="s">
        <v>5373</v>
      </c>
      <c r="M39" s="6" t="s">
        <v>5925</v>
      </c>
      <c r="N39" s="215" t="s">
        <v>5386</v>
      </c>
      <c r="O39" s="36" t="s">
        <v>5376</v>
      </c>
      <c r="P39" s="36" t="s">
        <v>587</v>
      </c>
      <c r="Q39" s="36" t="s">
        <v>5926</v>
      </c>
      <c r="R39" s="36" t="s">
        <v>587</v>
      </c>
      <c r="S39" s="36" t="s">
        <v>587</v>
      </c>
      <c r="T39" s="36" t="s">
        <v>587</v>
      </c>
      <c r="U39" s="36" t="s">
        <v>5927</v>
      </c>
      <c r="V39" s="6" t="s">
        <v>587</v>
      </c>
      <c r="W39" s="6" t="s">
        <v>587</v>
      </c>
      <c r="X39" s="186" t="n">
        <f aca="false">IF($O39="Active",SUMPRODUCT(($AH$5:$AH$115=$AH39)*1),0)</f>
        <v>1</v>
      </c>
      <c r="Y39" s="186" t="n">
        <f aca="false">IF(AND($O39="Active",OR($Q39="—",$Q39="")),1,0)</f>
        <v>0</v>
      </c>
      <c r="Z39" s="186" t="n">
        <f aca="false">IF(AND($O39="Active",$L39="利害關係方",OR($R39="—",$R39="")),1,0)</f>
        <v>1</v>
      </c>
      <c r="AH39" s="35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6" t="s">
        <v>2424</v>
      </c>
      <c r="B40" s="6" t="s">
        <v>5928</v>
      </c>
      <c r="C40" s="217" t="n">
        <v>1</v>
      </c>
      <c r="D40" s="215"/>
      <c r="E40" s="215"/>
      <c r="F40" s="36" t="s">
        <v>83</v>
      </c>
      <c r="G40" s="215" t="s">
        <v>5929</v>
      </c>
      <c r="H40" s="36" t="s">
        <v>5930</v>
      </c>
      <c r="I40" s="36" t="s">
        <v>5931</v>
      </c>
      <c r="J40" s="6" t="s">
        <v>5932</v>
      </c>
      <c r="K40" s="215" t="n">
        <v>1</v>
      </c>
      <c r="L40" s="215" t="s">
        <v>5373</v>
      </c>
      <c r="M40" s="6" t="s">
        <v>5933</v>
      </c>
      <c r="N40" s="215" t="s">
        <v>5884</v>
      </c>
      <c r="O40" s="36" t="s">
        <v>5376</v>
      </c>
      <c r="P40" s="36" t="s">
        <v>587</v>
      </c>
      <c r="Q40" s="36" t="s">
        <v>5934</v>
      </c>
      <c r="R40" s="36" t="s">
        <v>587</v>
      </c>
      <c r="S40" s="36" t="s">
        <v>587</v>
      </c>
      <c r="T40" s="36" t="s">
        <v>587</v>
      </c>
      <c r="U40" s="36" t="s">
        <v>5935</v>
      </c>
      <c r="V40" s="6" t="s">
        <v>5936</v>
      </c>
      <c r="W40" s="19" t="s">
        <v>5937</v>
      </c>
      <c r="X40" s="186" t="n">
        <f aca="false">IF($O40="Active",SUMPRODUCT(($AH$5:$AH$115=$AH40)*1),0)</f>
        <v>1</v>
      </c>
      <c r="Y40" s="186" t="n">
        <f aca="false">IF(AND($O40="Active",OR($Q40="—",$Q40="")),1,0)</f>
        <v>0</v>
      </c>
      <c r="Z40" s="186" t="n">
        <f aca="false">IF(AND($O40="Active",$L40="利害關係方",OR($R40="—",$R40="")),1,0)</f>
        <v>1</v>
      </c>
      <c r="AH40" s="35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6" t="s">
        <v>5938</v>
      </c>
      <c r="B41" s="6" t="s">
        <v>5939</v>
      </c>
      <c r="C41" s="217" t="n">
        <v>200000</v>
      </c>
      <c r="D41" s="215"/>
      <c r="E41" s="215"/>
      <c r="F41" s="36" t="s">
        <v>698</v>
      </c>
      <c r="G41" s="36" t="s">
        <v>587</v>
      </c>
      <c r="H41" s="36" t="s">
        <v>5930</v>
      </c>
      <c r="I41" s="36" t="s">
        <v>5931</v>
      </c>
      <c r="J41" s="6" t="s">
        <v>5932</v>
      </c>
      <c r="K41" s="215" t="n">
        <v>1</v>
      </c>
      <c r="L41" s="215" t="s">
        <v>5373</v>
      </c>
      <c r="M41" s="6" t="s">
        <v>5933</v>
      </c>
      <c r="N41" s="215" t="s">
        <v>5884</v>
      </c>
      <c r="O41" s="36" t="s">
        <v>5376</v>
      </c>
      <c r="P41" s="36" t="s">
        <v>587</v>
      </c>
      <c r="Q41" s="36" t="s">
        <v>5934</v>
      </c>
      <c r="R41" s="36" t="s">
        <v>587</v>
      </c>
      <c r="S41" s="36" t="s">
        <v>587</v>
      </c>
      <c r="T41" s="36" t="s">
        <v>587</v>
      </c>
      <c r="U41" s="36" t="s">
        <v>5935</v>
      </c>
      <c r="V41" s="6" t="s">
        <v>587</v>
      </c>
      <c r="W41" s="6" t="s">
        <v>587</v>
      </c>
      <c r="X41" s="186" t="n">
        <f aca="false">IF($O41="Active",SUMPRODUCT(($AH$5:$AH$115=$AH41)*1),0)</f>
        <v>1</v>
      </c>
      <c r="Y41" s="186" t="n">
        <f aca="false">IF(AND($O41="Active",OR($Q41="—",$Q41="")),1,0)</f>
        <v>0</v>
      </c>
      <c r="Z41" s="186" t="n">
        <f aca="false">IF(AND($O41="Active",$L41="利害關係方",OR($R41="—",$R41="")),1,0)</f>
        <v>1</v>
      </c>
      <c r="AH41" s="35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6" t="s">
        <v>5940</v>
      </c>
      <c r="B42" s="6" t="s">
        <v>5941</v>
      </c>
      <c r="C42" s="217" t="n">
        <v>10</v>
      </c>
      <c r="D42" s="215"/>
      <c r="E42" s="215"/>
      <c r="F42" s="36" t="s">
        <v>83</v>
      </c>
      <c r="G42" s="215" t="s">
        <v>5942</v>
      </c>
      <c r="H42" s="36" t="s">
        <v>5930</v>
      </c>
      <c r="I42" s="36" t="s">
        <v>5931</v>
      </c>
      <c r="J42" s="6" t="s">
        <v>5932</v>
      </c>
      <c r="K42" s="215" t="n">
        <v>1</v>
      </c>
      <c r="L42" s="215" t="s">
        <v>5373</v>
      </c>
      <c r="M42" s="6" t="s">
        <v>5933</v>
      </c>
      <c r="N42" s="215" t="s">
        <v>5884</v>
      </c>
      <c r="O42" s="36" t="s">
        <v>5376</v>
      </c>
      <c r="P42" s="36" t="s">
        <v>587</v>
      </c>
      <c r="Q42" s="36" t="s">
        <v>5934</v>
      </c>
      <c r="R42" s="36" t="s">
        <v>587</v>
      </c>
      <c r="S42" s="36" t="s">
        <v>587</v>
      </c>
      <c r="T42" s="36" t="s">
        <v>587</v>
      </c>
      <c r="U42" s="36" t="s">
        <v>5935</v>
      </c>
      <c r="V42" s="6" t="s">
        <v>587</v>
      </c>
      <c r="W42" s="6" t="s">
        <v>587</v>
      </c>
      <c r="X42" s="186" t="n">
        <f aca="false">IF($O42="Active",SUMPRODUCT(($AH$5:$AH$115=$AH42)*1),0)</f>
        <v>1</v>
      </c>
      <c r="Y42" s="186" t="n">
        <f aca="false">IF(AND($O42="Active",OR($Q42="—",$Q42="")),1,0)</f>
        <v>0</v>
      </c>
      <c r="Z42" s="186" t="n">
        <f aca="false">IF(AND($O42="Active",$L42="利害關係方",OR($R42="—",$R42="")),1,0)</f>
        <v>1</v>
      </c>
      <c r="AH42" s="35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6" t="s">
        <v>4207</v>
      </c>
      <c r="B43" s="6" t="s">
        <v>5943</v>
      </c>
      <c r="C43" s="217" t="n">
        <v>14.8</v>
      </c>
      <c r="D43" s="215"/>
      <c r="E43" s="215"/>
      <c r="F43" s="36" t="s">
        <v>920</v>
      </c>
      <c r="G43" s="36" t="s">
        <v>587</v>
      </c>
      <c r="H43" s="36" t="s">
        <v>5944</v>
      </c>
      <c r="I43" s="36" t="s">
        <v>5945</v>
      </c>
      <c r="J43" s="6" t="s">
        <v>5946</v>
      </c>
      <c r="K43" s="215" t="n">
        <v>3</v>
      </c>
      <c r="L43" s="215" t="s">
        <v>5373</v>
      </c>
      <c r="M43" s="6" t="s">
        <v>5947</v>
      </c>
      <c r="N43" s="215" t="s">
        <v>5505</v>
      </c>
      <c r="O43" s="36" t="s">
        <v>5376</v>
      </c>
      <c r="P43" s="36" t="s">
        <v>587</v>
      </c>
      <c r="Q43" s="36" t="s">
        <v>5948</v>
      </c>
      <c r="R43" s="36" t="s">
        <v>587</v>
      </c>
      <c r="S43" s="36" t="s">
        <v>587</v>
      </c>
      <c r="T43" s="36" t="s">
        <v>587</v>
      </c>
      <c r="U43" s="36" t="s">
        <v>951</v>
      </c>
      <c r="V43" s="6" t="s">
        <v>5949</v>
      </c>
      <c r="W43" s="6" t="s">
        <v>587</v>
      </c>
      <c r="X43" s="186" t="n">
        <f aca="false">IF($O43="Active",SUMPRODUCT(($AH$5:$AH$115=$AH43)*1),0)</f>
        <v>1</v>
      </c>
      <c r="Y43" s="186" t="n">
        <f aca="false">IF(AND($O43="Active",OR($Q43="—",$Q43="")),1,0)</f>
        <v>0</v>
      </c>
      <c r="Z43" s="186" t="n">
        <f aca="false">IF(AND($O43="Active",$L43="利害關係方",OR($R43="—",$R43="")),1,0)</f>
        <v>1</v>
      </c>
      <c r="AH43" s="35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6" t="s">
        <v>4210</v>
      </c>
      <c r="B44" s="6" t="s">
        <v>5950</v>
      </c>
      <c r="C44" s="217" t="n">
        <v>2.664</v>
      </c>
      <c r="D44" s="215"/>
      <c r="E44" s="215"/>
      <c r="F44" s="36" t="s">
        <v>5951</v>
      </c>
      <c r="G44" s="215" t="s">
        <v>5952</v>
      </c>
      <c r="H44" s="36" t="s">
        <v>5944</v>
      </c>
      <c r="I44" s="36" t="s">
        <v>5945</v>
      </c>
      <c r="J44" s="6" t="s">
        <v>5946</v>
      </c>
      <c r="K44" s="215" t="n">
        <v>3</v>
      </c>
      <c r="L44" s="215" t="s">
        <v>5373</v>
      </c>
      <c r="M44" s="6" t="s">
        <v>5947</v>
      </c>
      <c r="N44" s="215" t="s">
        <v>5505</v>
      </c>
      <c r="O44" s="36" t="s">
        <v>5376</v>
      </c>
      <c r="P44" s="36" t="s">
        <v>587</v>
      </c>
      <c r="Q44" s="36" t="s">
        <v>5948</v>
      </c>
      <c r="R44" s="36" t="s">
        <v>587</v>
      </c>
      <c r="S44" s="36" t="s">
        <v>587</v>
      </c>
      <c r="T44" s="36" t="s">
        <v>587</v>
      </c>
      <c r="U44" s="36" t="s">
        <v>951</v>
      </c>
      <c r="V44" s="6" t="s">
        <v>5953</v>
      </c>
      <c r="W44" s="6" t="s">
        <v>587</v>
      </c>
      <c r="X44" s="186" t="n">
        <f aca="false">IF($O44="Active",SUMPRODUCT(($AH$5:$AH$115=$AH44)*1),0)</f>
        <v>1</v>
      </c>
      <c r="Y44" s="186" t="n">
        <f aca="false">IF(AND($O44="Active",OR($Q44="—",$Q44="")),1,0)</f>
        <v>0</v>
      </c>
      <c r="Z44" s="186" t="n">
        <f aca="false">IF(AND($O44="Active",$L44="利害關係方",OR($R44="—",$R44="")),1,0)</f>
        <v>1</v>
      </c>
      <c r="AH44" s="35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6" t="s">
        <v>5954</v>
      </c>
      <c r="B45" s="6" t="s">
        <v>5955</v>
      </c>
      <c r="C45" s="217" t="n">
        <v>2.788</v>
      </c>
      <c r="D45" s="215"/>
      <c r="E45" s="215"/>
      <c r="F45" s="36" t="s">
        <v>5951</v>
      </c>
      <c r="G45" s="215" t="s">
        <v>5956</v>
      </c>
      <c r="H45" s="36" t="s">
        <v>5944</v>
      </c>
      <c r="I45" s="36" t="s">
        <v>5945</v>
      </c>
      <c r="J45" s="6" t="s">
        <v>5946</v>
      </c>
      <c r="K45" s="215" t="n">
        <v>3</v>
      </c>
      <c r="L45" s="215" t="s">
        <v>5373</v>
      </c>
      <c r="M45" s="6" t="s">
        <v>5947</v>
      </c>
      <c r="N45" s="215" t="s">
        <v>5505</v>
      </c>
      <c r="O45" s="36" t="s">
        <v>5376</v>
      </c>
      <c r="P45" s="36" t="s">
        <v>587</v>
      </c>
      <c r="Q45" s="36" t="s">
        <v>5948</v>
      </c>
      <c r="R45" s="36" t="s">
        <v>587</v>
      </c>
      <c r="S45" s="36" t="s">
        <v>587</v>
      </c>
      <c r="T45" s="36" t="s">
        <v>587</v>
      </c>
      <c r="U45" s="36" t="s">
        <v>951</v>
      </c>
      <c r="V45" s="6" t="s">
        <v>587</v>
      </c>
      <c r="W45" s="6" t="s">
        <v>587</v>
      </c>
      <c r="X45" s="186" t="n">
        <f aca="false">IF($O45="Active",SUMPRODUCT(($AH$5:$AH$115=$AH45)*1),0)</f>
        <v>1</v>
      </c>
      <c r="Y45" s="186" t="n">
        <f aca="false">IF(AND($O45="Active",OR($Q45="—",$Q45="")),1,0)</f>
        <v>0</v>
      </c>
      <c r="Z45" s="186" t="n">
        <f aca="false">IF(AND($O45="Active",$L45="利害關係方",OR($R45="—",$R45="")),1,0)</f>
        <v>1</v>
      </c>
      <c r="AH45" s="35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6" t="s">
        <v>4213</v>
      </c>
      <c r="B46" s="6" t="s">
        <v>5957</v>
      </c>
      <c r="C46" s="217" t="n">
        <v>4096</v>
      </c>
      <c r="D46" s="215"/>
      <c r="E46" s="215"/>
      <c r="F46" s="36" t="s">
        <v>257</v>
      </c>
      <c r="G46" s="36" t="s">
        <v>587</v>
      </c>
      <c r="H46" s="36" t="s">
        <v>5944</v>
      </c>
      <c r="I46" s="36" t="s">
        <v>5945</v>
      </c>
      <c r="J46" s="6" t="s">
        <v>5946</v>
      </c>
      <c r="K46" s="215" t="n">
        <v>3</v>
      </c>
      <c r="L46" s="215" t="s">
        <v>5373</v>
      </c>
      <c r="M46" s="6" t="s">
        <v>5947</v>
      </c>
      <c r="N46" s="215" t="s">
        <v>5505</v>
      </c>
      <c r="O46" s="36" t="s">
        <v>5376</v>
      </c>
      <c r="P46" s="36" t="s">
        <v>587</v>
      </c>
      <c r="Q46" s="36" t="s">
        <v>5948</v>
      </c>
      <c r="R46" s="36" t="s">
        <v>587</v>
      </c>
      <c r="S46" s="36" t="s">
        <v>587</v>
      </c>
      <c r="T46" s="36" t="s">
        <v>587</v>
      </c>
      <c r="U46" s="36" t="s">
        <v>951</v>
      </c>
      <c r="V46" s="6" t="s">
        <v>5958</v>
      </c>
      <c r="W46" s="6" t="s">
        <v>587</v>
      </c>
      <c r="X46" s="186" t="n">
        <f aca="false">IF($O46="Active",SUMPRODUCT(($AH$5:$AH$115=$AH46)*1),0)</f>
        <v>1</v>
      </c>
      <c r="Y46" s="186" t="n">
        <f aca="false">IF(AND($O46="Active",OR($Q46="—",$Q46="")),1,0)</f>
        <v>0</v>
      </c>
      <c r="Z46" s="186" t="n">
        <f aca="false">IF(AND($O46="Active",$L46="利害關係方",OR($R46="—",$R46="")),1,0)</f>
        <v>1</v>
      </c>
      <c r="AH46" s="35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6" t="s">
        <v>4218</v>
      </c>
      <c r="B47" s="19" t="s">
        <v>5959</v>
      </c>
      <c r="C47" s="217" t="n">
        <v>1</v>
      </c>
      <c r="D47" s="215"/>
      <c r="E47" s="215"/>
      <c r="F47" s="36" t="s">
        <v>5960</v>
      </c>
      <c r="G47" s="215" t="s">
        <v>5961</v>
      </c>
      <c r="H47" s="36" t="s">
        <v>1199</v>
      </c>
      <c r="I47" s="36" t="s">
        <v>1189</v>
      </c>
      <c r="J47" s="6" t="s">
        <v>5962</v>
      </c>
      <c r="K47" s="215" t="n">
        <v>1</v>
      </c>
      <c r="L47" s="215" t="s">
        <v>5373</v>
      </c>
      <c r="M47" s="6" t="s">
        <v>5883</v>
      </c>
      <c r="N47" s="215" t="s">
        <v>5884</v>
      </c>
      <c r="O47" s="36" t="s">
        <v>5376</v>
      </c>
      <c r="P47" s="36" t="s">
        <v>587</v>
      </c>
      <c r="Q47" s="36" t="s">
        <v>5963</v>
      </c>
      <c r="R47" s="36" t="s">
        <v>587</v>
      </c>
      <c r="S47" s="36" t="s">
        <v>587</v>
      </c>
      <c r="T47" s="36" t="s">
        <v>587</v>
      </c>
      <c r="U47" s="36" t="s">
        <v>5964</v>
      </c>
      <c r="V47" s="6" t="s">
        <v>5965</v>
      </c>
      <c r="W47" s="6" t="s">
        <v>5966</v>
      </c>
      <c r="X47" s="186" t="n">
        <f aca="false">IF($O47="Active",SUMPRODUCT(($AH$5:$AH$115=$AH47)*1),0)</f>
        <v>1</v>
      </c>
      <c r="Y47" s="186" t="n">
        <f aca="false">IF(AND($O47="Active",OR($Q47="—",$Q47="")),1,0)</f>
        <v>0</v>
      </c>
      <c r="Z47" s="186" t="n">
        <f aca="false">IF(AND($O47="Active",$L47="利害關係方",OR($R47="—",$R47="")),1,0)</f>
        <v>1</v>
      </c>
      <c r="AH47" s="35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6" t="s">
        <v>5967</v>
      </c>
      <c r="B48" s="19" t="s">
        <v>5968</v>
      </c>
      <c r="C48" s="217" t="n">
        <v>1</v>
      </c>
      <c r="D48" s="215"/>
      <c r="E48" s="215"/>
      <c r="F48" s="36" t="s">
        <v>5960</v>
      </c>
      <c r="G48" s="215" t="s">
        <v>5961</v>
      </c>
      <c r="H48" s="36" t="s">
        <v>5969</v>
      </c>
      <c r="I48" s="36" t="s">
        <v>5970</v>
      </c>
      <c r="J48" s="6" t="s">
        <v>5971</v>
      </c>
      <c r="K48" s="215" t="n">
        <v>1</v>
      </c>
      <c r="L48" s="215" t="s">
        <v>5373</v>
      </c>
      <c r="M48" s="6" t="s">
        <v>5972</v>
      </c>
      <c r="N48" s="215" t="s">
        <v>5884</v>
      </c>
      <c r="O48" s="36" t="s">
        <v>5376</v>
      </c>
      <c r="P48" s="36" t="s">
        <v>587</v>
      </c>
      <c r="Q48" s="36" t="s">
        <v>5973</v>
      </c>
      <c r="R48" s="36" t="s">
        <v>587</v>
      </c>
      <c r="S48" s="36" t="s">
        <v>587</v>
      </c>
      <c r="T48" s="36" t="s">
        <v>587</v>
      </c>
      <c r="U48" s="36" t="s">
        <v>5974</v>
      </c>
      <c r="V48" s="6" t="s">
        <v>5965</v>
      </c>
      <c r="W48" s="6" t="s">
        <v>587</v>
      </c>
      <c r="X48" s="186" t="n">
        <f aca="false">IF($O48="Active",SUMPRODUCT(($AH$5:$AH$115=$AH48)*1),0)</f>
        <v>1</v>
      </c>
      <c r="Y48" s="186" t="n">
        <f aca="false">IF(AND($O48="Active",OR($Q48="—",$Q48="")),1,0)</f>
        <v>0</v>
      </c>
      <c r="Z48" s="186" t="n">
        <f aca="false">IF(AND($O48="Active",$L48="利害關係方",OR($R48="—",$R48="")),1,0)</f>
        <v>1</v>
      </c>
      <c r="AH48" s="35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6" t="s">
        <v>5975</v>
      </c>
      <c r="B49" s="19" t="s">
        <v>5976</v>
      </c>
      <c r="C49" s="217" t="n">
        <v>1</v>
      </c>
      <c r="D49" s="215"/>
      <c r="E49" s="215"/>
      <c r="F49" s="36" t="s">
        <v>5960</v>
      </c>
      <c r="G49" s="215" t="s">
        <v>5961</v>
      </c>
      <c r="H49" s="36" t="s">
        <v>1216</v>
      </c>
      <c r="I49" s="36" t="s">
        <v>5911</v>
      </c>
      <c r="J49" s="6" t="s">
        <v>5977</v>
      </c>
      <c r="K49" s="215" t="n">
        <v>2</v>
      </c>
      <c r="L49" s="215" t="s">
        <v>5373</v>
      </c>
      <c r="M49" s="6" t="s">
        <v>5977</v>
      </c>
      <c r="N49" s="215" t="s">
        <v>5386</v>
      </c>
      <c r="O49" s="36" t="s">
        <v>5376</v>
      </c>
      <c r="P49" s="36" t="s">
        <v>587</v>
      </c>
      <c r="Q49" s="36" t="s">
        <v>5978</v>
      </c>
      <c r="R49" s="36" t="s">
        <v>587</v>
      </c>
      <c r="S49" s="36" t="s">
        <v>587</v>
      </c>
      <c r="T49" s="36" t="s">
        <v>587</v>
      </c>
      <c r="U49" s="36" t="s">
        <v>5979</v>
      </c>
      <c r="V49" s="6" t="s">
        <v>5965</v>
      </c>
      <c r="W49" s="6" t="s">
        <v>587</v>
      </c>
      <c r="X49" s="186" t="n">
        <f aca="false">IF($O49="Active",SUMPRODUCT(($AH$5:$AH$115=$AH49)*1),0)</f>
        <v>1</v>
      </c>
      <c r="Y49" s="186" t="n">
        <f aca="false">IF(AND($O49="Active",OR($Q49="—",$Q49="")),1,0)</f>
        <v>0</v>
      </c>
      <c r="Z49" s="186" t="n">
        <f aca="false">IF(AND($O49="Active",$L49="利害關係方",OR($R49="—",$R49="")),1,0)</f>
        <v>1</v>
      </c>
      <c r="AH49" s="35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6" t="s">
        <v>4524</v>
      </c>
      <c r="B50" s="6" t="s">
        <v>5980</v>
      </c>
      <c r="C50" s="217" t="n">
        <v>1.5</v>
      </c>
      <c r="D50" s="215"/>
      <c r="E50" s="215"/>
      <c r="F50" s="36" t="s">
        <v>83</v>
      </c>
      <c r="G50" s="215" t="s">
        <v>5981</v>
      </c>
      <c r="H50" s="36" t="s">
        <v>1216</v>
      </c>
      <c r="I50" s="36" t="s">
        <v>5911</v>
      </c>
      <c r="J50" s="6" t="s">
        <v>5977</v>
      </c>
      <c r="K50" s="215" t="n">
        <v>2</v>
      </c>
      <c r="L50" s="215" t="s">
        <v>5373</v>
      </c>
      <c r="M50" s="6" t="s">
        <v>5977</v>
      </c>
      <c r="N50" s="215" t="s">
        <v>5386</v>
      </c>
      <c r="O50" s="36" t="s">
        <v>5376</v>
      </c>
      <c r="P50" s="36" t="s">
        <v>587</v>
      </c>
      <c r="Q50" s="36" t="s">
        <v>5978</v>
      </c>
      <c r="R50" s="36" t="s">
        <v>587</v>
      </c>
      <c r="S50" s="36" t="s">
        <v>587</v>
      </c>
      <c r="T50" s="36" t="s">
        <v>587</v>
      </c>
      <c r="U50" s="36" t="s">
        <v>5979</v>
      </c>
      <c r="V50" s="6" t="s">
        <v>587</v>
      </c>
      <c r="W50" s="6" t="s">
        <v>587</v>
      </c>
      <c r="X50" s="186" t="n">
        <f aca="false">IF($O50="Active",SUMPRODUCT(($AH$5:$AH$115=$AH50)*1),0)</f>
        <v>1</v>
      </c>
      <c r="Y50" s="186" t="n">
        <f aca="false">IF(AND($O50="Active",OR($Q50="—",$Q50="")),1,0)</f>
        <v>0</v>
      </c>
      <c r="Z50" s="186" t="n">
        <f aca="false">IF(AND($O50="Active",$L50="利害關係方",OR($R50="—",$R50="")),1,0)</f>
        <v>1</v>
      </c>
      <c r="AH50" s="35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6" t="s">
        <v>5982</v>
      </c>
      <c r="B51" s="19" t="s">
        <v>5983</v>
      </c>
      <c r="C51" s="217" t="n">
        <v>1</v>
      </c>
      <c r="D51" s="215"/>
      <c r="E51" s="215"/>
      <c r="F51" s="36" t="s">
        <v>5960</v>
      </c>
      <c r="G51" s="215" t="s">
        <v>5961</v>
      </c>
      <c r="H51" s="36" t="s">
        <v>5984</v>
      </c>
      <c r="I51" s="36" t="s">
        <v>5931</v>
      </c>
      <c r="J51" s="6" t="s">
        <v>5985</v>
      </c>
      <c r="K51" s="215" t="n">
        <v>1</v>
      </c>
      <c r="L51" s="215" t="s">
        <v>5373</v>
      </c>
      <c r="M51" s="6" t="s">
        <v>5986</v>
      </c>
      <c r="N51" s="215" t="s">
        <v>5884</v>
      </c>
      <c r="O51" s="36" t="s">
        <v>5376</v>
      </c>
      <c r="P51" s="36" t="s">
        <v>587</v>
      </c>
      <c r="Q51" s="36" t="s">
        <v>5987</v>
      </c>
      <c r="R51" s="36" t="s">
        <v>587</v>
      </c>
      <c r="S51" s="36" t="s">
        <v>587</v>
      </c>
      <c r="T51" s="36" t="s">
        <v>587</v>
      </c>
      <c r="U51" s="36" t="s">
        <v>5988</v>
      </c>
      <c r="V51" s="6" t="s">
        <v>5965</v>
      </c>
      <c r="W51" s="6" t="s">
        <v>587</v>
      </c>
      <c r="X51" s="186" t="n">
        <f aca="false">IF($O51="Active",SUMPRODUCT(($AH$5:$AH$115=$AH51)*1),0)</f>
        <v>1</v>
      </c>
      <c r="Y51" s="186" t="n">
        <f aca="false">IF(AND($O51="Active",OR($Q51="—",$Q51="")),1,0)</f>
        <v>0</v>
      </c>
      <c r="Z51" s="186" t="n">
        <f aca="false">IF(AND($O51="Active",$L51="利害關係方",OR($R51="—",$R51="")),1,0)</f>
        <v>1</v>
      </c>
      <c r="AH51" s="35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6" t="s">
        <v>5989</v>
      </c>
      <c r="B52" s="6" t="s">
        <v>5990</v>
      </c>
      <c r="C52" s="217" t="n">
        <v>10.7</v>
      </c>
      <c r="D52" s="215"/>
      <c r="E52" s="215"/>
      <c r="F52" s="36" t="s">
        <v>83</v>
      </c>
      <c r="G52" s="215" t="s">
        <v>5991</v>
      </c>
      <c r="H52" s="36" t="s">
        <v>5984</v>
      </c>
      <c r="I52" s="36" t="s">
        <v>5931</v>
      </c>
      <c r="J52" s="6" t="s">
        <v>5985</v>
      </c>
      <c r="K52" s="215" t="n">
        <v>1</v>
      </c>
      <c r="L52" s="215" t="s">
        <v>5373</v>
      </c>
      <c r="M52" s="6" t="s">
        <v>5986</v>
      </c>
      <c r="N52" s="215" t="s">
        <v>5884</v>
      </c>
      <c r="O52" s="36" t="s">
        <v>5376</v>
      </c>
      <c r="P52" s="36" t="s">
        <v>587</v>
      </c>
      <c r="Q52" s="36" t="s">
        <v>5987</v>
      </c>
      <c r="R52" s="36" t="s">
        <v>587</v>
      </c>
      <c r="S52" s="36" t="s">
        <v>587</v>
      </c>
      <c r="T52" s="36" t="s">
        <v>587</v>
      </c>
      <c r="U52" s="36" t="s">
        <v>5988</v>
      </c>
      <c r="V52" s="6" t="s">
        <v>587</v>
      </c>
      <c r="W52" s="6" t="s">
        <v>587</v>
      </c>
      <c r="X52" s="186" t="n">
        <f aca="false">IF($O52="Active",SUMPRODUCT(($AH$5:$AH$115=$AH52)*1),0)</f>
        <v>1</v>
      </c>
      <c r="Y52" s="186" t="n">
        <f aca="false">IF(AND($O52="Active",OR($Q52="—",$Q52="")),1,0)</f>
        <v>0</v>
      </c>
      <c r="Z52" s="186" t="n">
        <f aca="false">IF(AND($O52="Active",$L52="利害關係方",OR($R52="—",$R52="")),1,0)</f>
        <v>1</v>
      </c>
      <c r="AH52" s="35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6" t="s">
        <v>4073</v>
      </c>
      <c r="B53" s="6" t="s">
        <v>5992</v>
      </c>
      <c r="C53" s="217" t="n">
        <v>128</v>
      </c>
      <c r="D53" s="215"/>
      <c r="E53" s="215"/>
      <c r="F53" s="215" t="s">
        <v>295</v>
      </c>
      <c r="G53" s="36" t="s">
        <v>5993</v>
      </c>
      <c r="H53" s="36" t="s">
        <v>5861</v>
      </c>
      <c r="I53" s="36" t="s">
        <v>587</v>
      </c>
      <c r="J53" s="6" t="s">
        <v>5652</v>
      </c>
      <c r="K53" s="215" t="n">
        <v>3</v>
      </c>
      <c r="L53" s="215" t="s">
        <v>5373</v>
      </c>
      <c r="M53" s="6" t="s">
        <v>5994</v>
      </c>
      <c r="N53" s="215" t="s">
        <v>5505</v>
      </c>
      <c r="O53" s="36" t="s">
        <v>5376</v>
      </c>
      <c r="P53" s="36" t="s">
        <v>587</v>
      </c>
      <c r="Q53" s="36" t="s">
        <v>5661</v>
      </c>
      <c r="R53" s="36" t="s">
        <v>587</v>
      </c>
      <c r="S53" s="36" t="s">
        <v>587</v>
      </c>
      <c r="T53" s="36" t="s">
        <v>587</v>
      </c>
      <c r="U53" s="36" t="s">
        <v>5654</v>
      </c>
      <c r="V53" s="6" t="s">
        <v>587</v>
      </c>
      <c r="W53" s="6" t="s">
        <v>5665</v>
      </c>
      <c r="X53" s="186" t="n">
        <f aca="false">IF($O53="Active",SUMPRODUCT(($AH$5:$AH$115=$AH53)*1),0)</f>
        <v>1</v>
      </c>
      <c r="Y53" s="186" t="n">
        <f aca="false">IF(AND($O53="Active",OR($Q53="—",$Q53="")),1,0)</f>
        <v>0</v>
      </c>
      <c r="Z53" s="186" t="n">
        <f aca="false">IF(AND($O53="Active",$L53="利害關係方",OR($R53="—",$R53="")),1,0)</f>
        <v>1</v>
      </c>
      <c r="AH53" s="35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6" t="s">
        <v>5995</v>
      </c>
      <c r="B54" s="6" t="s">
        <v>5996</v>
      </c>
      <c r="C54" s="217" t="n">
        <v>192</v>
      </c>
      <c r="D54" s="215"/>
      <c r="E54" s="215"/>
      <c r="F54" s="215" t="s">
        <v>5791</v>
      </c>
      <c r="G54" s="36" t="s">
        <v>5993</v>
      </c>
      <c r="H54" s="36" t="s">
        <v>5861</v>
      </c>
      <c r="I54" s="36" t="s">
        <v>587</v>
      </c>
      <c r="J54" s="6" t="s">
        <v>5652</v>
      </c>
      <c r="K54" s="215" t="n">
        <v>3</v>
      </c>
      <c r="L54" s="215" t="s">
        <v>5373</v>
      </c>
      <c r="M54" s="6" t="s">
        <v>5994</v>
      </c>
      <c r="N54" s="215" t="s">
        <v>5505</v>
      </c>
      <c r="O54" s="36" t="s">
        <v>5376</v>
      </c>
      <c r="P54" s="36" t="s">
        <v>587</v>
      </c>
      <c r="Q54" s="36" t="s">
        <v>5661</v>
      </c>
      <c r="R54" s="36" t="s">
        <v>587</v>
      </c>
      <c r="S54" s="36" t="s">
        <v>587</v>
      </c>
      <c r="T54" s="36" t="s">
        <v>587</v>
      </c>
      <c r="U54" s="36" t="s">
        <v>5654</v>
      </c>
      <c r="V54" s="6" t="s">
        <v>587</v>
      </c>
      <c r="W54" s="6" t="s">
        <v>5665</v>
      </c>
      <c r="X54" s="186" t="n">
        <f aca="false">IF($O54="Active",SUMPRODUCT(($AH$5:$AH$115=$AH54)*1),0)</f>
        <v>1</v>
      </c>
      <c r="Y54" s="186" t="n">
        <f aca="false">IF(AND($O54="Active",OR($Q54="—",$Q54="")),1,0)</f>
        <v>0</v>
      </c>
      <c r="Z54" s="186" t="n">
        <f aca="false">IF(AND($O54="Active",$L54="利害關係方",OR($R54="—",$R54="")),1,0)</f>
        <v>1</v>
      </c>
      <c r="AH54" s="35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6" t="s">
        <v>5997</v>
      </c>
      <c r="B55" s="6" t="s">
        <v>5998</v>
      </c>
      <c r="C55" s="217" t="n">
        <v>128</v>
      </c>
      <c r="D55" s="215"/>
      <c r="E55" s="215"/>
      <c r="F55" s="215" t="s">
        <v>5791</v>
      </c>
      <c r="G55" s="36" t="s">
        <v>5993</v>
      </c>
      <c r="H55" s="36" t="s">
        <v>5861</v>
      </c>
      <c r="I55" s="36" t="s">
        <v>587</v>
      </c>
      <c r="J55" s="6" t="s">
        <v>5652</v>
      </c>
      <c r="K55" s="215" t="n">
        <v>3</v>
      </c>
      <c r="L55" s="215" t="s">
        <v>5373</v>
      </c>
      <c r="M55" s="6" t="s">
        <v>5994</v>
      </c>
      <c r="N55" s="215" t="s">
        <v>5505</v>
      </c>
      <c r="O55" s="36" t="s">
        <v>5376</v>
      </c>
      <c r="P55" s="36" t="s">
        <v>587</v>
      </c>
      <c r="Q55" s="36" t="s">
        <v>5661</v>
      </c>
      <c r="R55" s="36" t="s">
        <v>587</v>
      </c>
      <c r="S55" s="36" t="s">
        <v>587</v>
      </c>
      <c r="T55" s="36" t="s">
        <v>587</v>
      </c>
      <c r="U55" s="36" t="s">
        <v>5654</v>
      </c>
      <c r="V55" s="6" t="s">
        <v>587</v>
      </c>
      <c r="W55" s="6" t="s">
        <v>5665</v>
      </c>
      <c r="X55" s="186" t="n">
        <f aca="false">IF($O55="Active",SUMPRODUCT(($AH$5:$AH$115=$AH55)*1),0)</f>
        <v>1</v>
      </c>
      <c r="Y55" s="186" t="n">
        <f aca="false">IF(AND($O55="Active",OR($Q55="—",$Q55="")),1,0)</f>
        <v>0</v>
      </c>
      <c r="Z55" s="186" t="n">
        <f aca="false">IF(AND($O55="Active",$L55="利害關係方",OR($R55="—",$R55="")),1,0)</f>
        <v>1</v>
      </c>
      <c r="AH55" s="35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6" t="s">
        <v>3712</v>
      </c>
      <c r="B56" s="6" t="s">
        <v>5999</v>
      </c>
      <c r="C56" s="217" t="n">
        <v>4096</v>
      </c>
      <c r="D56" s="215"/>
      <c r="E56" s="215"/>
      <c r="F56" s="215" t="s">
        <v>5791</v>
      </c>
      <c r="G56" s="36" t="s">
        <v>6000</v>
      </c>
      <c r="H56" s="36" t="s">
        <v>5801</v>
      </c>
      <c r="I56" s="36" t="s">
        <v>5383</v>
      </c>
      <c r="J56" s="6" t="s">
        <v>6001</v>
      </c>
      <c r="K56" s="215" t="n">
        <v>1</v>
      </c>
      <c r="L56" s="215" t="s">
        <v>5373</v>
      </c>
      <c r="M56" s="6" t="s">
        <v>6002</v>
      </c>
      <c r="N56" s="215" t="s">
        <v>5884</v>
      </c>
      <c r="O56" s="36" t="s">
        <v>5376</v>
      </c>
      <c r="P56" s="36" t="s">
        <v>587</v>
      </c>
      <c r="Q56" s="36" t="s">
        <v>6003</v>
      </c>
      <c r="R56" s="36" t="s">
        <v>587</v>
      </c>
      <c r="S56" s="36" t="s">
        <v>587</v>
      </c>
      <c r="T56" s="36" t="s">
        <v>587</v>
      </c>
      <c r="U56" s="36" t="s">
        <v>6004</v>
      </c>
      <c r="V56" s="6" t="s">
        <v>6005</v>
      </c>
      <c r="W56" s="19" t="s">
        <v>6006</v>
      </c>
      <c r="X56" s="186" t="n">
        <f aca="false">IF($O56="Active",SUMPRODUCT(($AH$5:$AH$115=$AH56)*1),0)</f>
        <v>1</v>
      </c>
      <c r="Y56" s="186" t="n">
        <f aca="false">IF(AND($O56="Active",OR($Q56="—",$Q56="")),1,0)</f>
        <v>0</v>
      </c>
      <c r="Z56" s="186" t="n">
        <f aca="false">IF(AND($O56="Active",$L56="利害關係方",OR($R56="—",$R56="")),1,0)</f>
        <v>1</v>
      </c>
      <c r="AH56" s="35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6" t="s">
        <v>3715</v>
      </c>
      <c r="B57" s="6" t="s">
        <v>6007</v>
      </c>
      <c r="C57" s="217" t="n">
        <v>64</v>
      </c>
      <c r="D57" s="215"/>
      <c r="E57" s="215"/>
      <c r="F57" s="215" t="s">
        <v>295</v>
      </c>
      <c r="G57" s="36" t="s">
        <v>6008</v>
      </c>
      <c r="H57" s="36" t="s">
        <v>5801</v>
      </c>
      <c r="I57" s="36" t="s">
        <v>5383</v>
      </c>
      <c r="J57" s="6" t="s">
        <v>6001</v>
      </c>
      <c r="K57" s="215" t="n">
        <v>1</v>
      </c>
      <c r="L57" s="215" t="s">
        <v>5373</v>
      </c>
      <c r="M57" s="6" t="s">
        <v>6002</v>
      </c>
      <c r="N57" s="215" t="s">
        <v>5884</v>
      </c>
      <c r="O57" s="36" t="s">
        <v>5376</v>
      </c>
      <c r="P57" s="36" t="s">
        <v>587</v>
      </c>
      <c r="Q57" s="36" t="s">
        <v>6003</v>
      </c>
      <c r="R57" s="36" t="s">
        <v>587</v>
      </c>
      <c r="S57" s="36" t="s">
        <v>587</v>
      </c>
      <c r="T57" s="36" t="s">
        <v>587</v>
      </c>
      <c r="U57" s="36" t="s">
        <v>6004</v>
      </c>
      <c r="V57" s="6" t="s">
        <v>6009</v>
      </c>
      <c r="W57" s="19" t="s">
        <v>6010</v>
      </c>
      <c r="X57" s="186" t="n">
        <f aca="false">IF($O57="Active",SUMPRODUCT(($AH$5:$AH$115=$AH57)*1),0)</f>
        <v>1</v>
      </c>
      <c r="Y57" s="186" t="n">
        <f aca="false">IF(AND($O57="Active",OR($Q57="—",$Q57="")),1,0)</f>
        <v>0</v>
      </c>
      <c r="Z57" s="186" t="n">
        <f aca="false">IF(AND($O57="Active",$L57="利害關係方",OR($R57="—",$R57="")),1,0)</f>
        <v>1</v>
      </c>
      <c r="AH57" s="35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6" t="s">
        <v>6011</v>
      </c>
      <c r="B58" s="6" t="s">
        <v>6012</v>
      </c>
      <c r="C58" s="217" t="n">
        <v>0.492</v>
      </c>
      <c r="D58" s="215"/>
      <c r="E58" s="215"/>
      <c r="F58" s="36" t="s">
        <v>79</v>
      </c>
      <c r="G58" s="36" t="s">
        <v>6013</v>
      </c>
      <c r="H58" s="36" t="s">
        <v>5809</v>
      </c>
      <c r="I58" s="36" t="s">
        <v>5383</v>
      </c>
      <c r="J58" s="6" t="s">
        <v>6014</v>
      </c>
      <c r="K58" s="215" t="n">
        <v>1</v>
      </c>
      <c r="L58" s="215" t="s">
        <v>5373</v>
      </c>
      <c r="M58" s="6" t="s">
        <v>6015</v>
      </c>
      <c r="N58" s="215" t="s">
        <v>5375</v>
      </c>
      <c r="O58" s="36" t="s">
        <v>5376</v>
      </c>
      <c r="P58" s="36" t="s">
        <v>587</v>
      </c>
      <c r="Q58" s="36" t="s">
        <v>6016</v>
      </c>
      <c r="R58" s="36" t="s">
        <v>587</v>
      </c>
      <c r="S58" s="36" t="s">
        <v>587</v>
      </c>
      <c r="T58" s="36" t="s">
        <v>587</v>
      </c>
      <c r="U58" s="36" t="s">
        <v>5682</v>
      </c>
      <c r="V58" s="6" t="s">
        <v>6017</v>
      </c>
      <c r="W58" s="6" t="s">
        <v>6018</v>
      </c>
      <c r="X58" s="186" t="n">
        <f aca="false">IF($O58="Active",SUMPRODUCT(($AH$5:$AH$115=$AH58)*1),0)</f>
        <v>1</v>
      </c>
      <c r="Y58" s="186" t="n">
        <f aca="false">IF(AND($O58="Active",OR($Q58="—",$Q58="")),1,0)</f>
        <v>0</v>
      </c>
      <c r="Z58" s="186" t="n">
        <f aca="false">IF(AND($O58="Active",$L58="利害關係方",OR($R58="—",$R58="")),1,0)</f>
        <v>1</v>
      </c>
      <c r="AH58" s="35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6" t="s">
        <v>2454</v>
      </c>
      <c r="B59" s="6" t="s">
        <v>6019</v>
      </c>
      <c r="C59" s="217" t="n">
        <v>1.0001E+027</v>
      </c>
      <c r="D59" s="217" t="n">
        <v>5E+026</v>
      </c>
      <c r="E59" s="217" t="n">
        <v>2E+027</v>
      </c>
      <c r="F59" s="36" t="s">
        <v>280</v>
      </c>
      <c r="G59" s="191" t="s">
        <v>6020</v>
      </c>
      <c r="H59" s="36" t="s">
        <v>1184</v>
      </c>
      <c r="I59" s="36" t="s">
        <v>6021</v>
      </c>
      <c r="J59" s="6" t="s">
        <v>6022</v>
      </c>
      <c r="K59" s="191" t="n">
        <v>1</v>
      </c>
      <c r="L59" s="191" t="s">
        <v>5477</v>
      </c>
      <c r="M59" s="6" t="s">
        <v>6023</v>
      </c>
      <c r="N59" s="191" t="s">
        <v>5375</v>
      </c>
      <c r="O59" s="36" t="s">
        <v>5376</v>
      </c>
      <c r="P59" s="36" t="s">
        <v>587</v>
      </c>
      <c r="Q59" s="36" t="s">
        <v>6024</v>
      </c>
      <c r="R59" s="36" t="s">
        <v>587</v>
      </c>
      <c r="S59" s="36" t="s">
        <v>587</v>
      </c>
      <c r="T59" s="36" t="s">
        <v>587</v>
      </c>
      <c r="U59" s="36" t="s">
        <v>6025</v>
      </c>
      <c r="V59" s="6" t="s">
        <v>6026</v>
      </c>
      <c r="W59" s="6" t="s">
        <v>6027</v>
      </c>
      <c r="X59" s="186" t="n">
        <f aca="false">IF($O59="Active",SUMPRODUCT(($AH$5:$AH$115=$AH59)*1),0)</f>
        <v>1</v>
      </c>
      <c r="Y59" s="186" t="n">
        <f aca="false">IF(AND($O59="Active",OR($Q59="—",$Q59="")),1,0)</f>
        <v>0</v>
      </c>
      <c r="Z59" s="186" t="n">
        <f aca="false">IF(AND($O59="Active",$L59="利害關係方",OR($R59="—",$R59="")),1,0)</f>
        <v>0</v>
      </c>
      <c r="AH59" s="35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6" t="s">
        <v>6028</v>
      </c>
      <c r="B60" s="6" t="s">
        <v>6029</v>
      </c>
      <c r="C60" s="217" t="n">
        <v>2800</v>
      </c>
      <c r="D60" s="191"/>
      <c r="E60" s="191"/>
      <c r="F60" s="36" t="s">
        <v>236</v>
      </c>
      <c r="G60" s="191" t="s">
        <v>6030</v>
      </c>
      <c r="H60" s="36" t="s">
        <v>6031</v>
      </c>
      <c r="I60" s="36" t="s">
        <v>5383</v>
      </c>
      <c r="J60" s="6" t="s">
        <v>6032</v>
      </c>
      <c r="K60" s="191" t="n">
        <v>1</v>
      </c>
      <c r="L60" s="191" t="s">
        <v>5373</v>
      </c>
      <c r="M60" s="6" t="s">
        <v>6033</v>
      </c>
      <c r="N60" s="191" t="s">
        <v>5375</v>
      </c>
      <c r="O60" s="36" t="s">
        <v>5376</v>
      </c>
      <c r="P60" s="36" t="s">
        <v>587</v>
      </c>
      <c r="Q60" s="36" t="s">
        <v>6034</v>
      </c>
      <c r="R60" s="36" t="s">
        <v>587</v>
      </c>
      <c r="S60" s="36" t="s">
        <v>587</v>
      </c>
      <c r="T60" s="36" t="s">
        <v>587</v>
      </c>
      <c r="U60" s="36" t="s">
        <v>6035</v>
      </c>
      <c r="V60" s="6" t="s">
        <v>587</v>
      </c>
      <c r="W60" s="6" t="s">
        <v>6036</v>
      </c>
      <c r="X60" s="186" t="n">
        <f aca="false">IF($O60="Active",SUMPRODUCT(($AH$5:$AH$115=$AH60)*1),0)</f>
        <v>1</v>
      </c>
      <c r="Y60" s="186" t="n">
        <f aca="false">IF(AND($O60="Active",OR($Q60="—",$Q60="")),1,0)</f>
        <v>0</v>
      </c>
      <c r="Z60" s="186" t="n">
        <f aca="false">IF(AND($O60="Active",$L60="利害關係方",OR($R60="—",$R60="")),1,0)</f>
        <v>1</v>
      </c>
      <c r="AH60" s="35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6" t="s">
        <v>6037</v>
      </c>
      <c r="B61" s="6" t="s">
        <v>6038</v>
      </c>
      <c r="C61" s="217" t="n">
        <v>104</v>
      </c>
      <c r="D61" s="191"/>
      <c r="E61" s="191"/>
      <c r="F61" s="36" t="s">
        <v>236</v>
      </c>
      <c r="G61" s="191" t="s">
        <v>6030</v>
      </c>
      <c r="H61" s="36" t="s">
        <v>6031</v>
      </c>
      <c r="I61" s="36" t="s">
        <v>5383</v>
      </c>
      <c r="J61" s="6" t="s">
        <v>6032</v>
      </c>
      <c r="K61" s="191" t="n">
        <v>1</v>
      </c>
      <c r="L61" s="191" t="s">
        <v>5373</v>
      </c>
      <c r="M61" s="6" t="s">
        <v>6033</v>
      </c>
      <c r="N61" s="191" t="s">
        <v>5375</v>
      </c>
      <c r="O61" s="36" t="s">
        <v>5376</v>
      </c>
      <c r="P61" s="36" t="s">
        <v>587</v>
      </c>
      <c r="Q61" s="36" t="s">
        <v>6034</v>
      </c>
      <c r="R61" s="36" t="s">
        <v>587</v>
      </c>
      <c r="S61" s="36" t="s">
        <v>587</v>
      </c>
      <c r="T61" s="36" t="s">
        <v>587</v>
      </c>
      <c r="U61" s="36" t="s">
        <v>6035</v>
      </c>
      <c r="V61" s="6" t="s">
        <v>587</v>
      </c>
      <c r="W61" s="6" t="s">
        <v>6039</v>
      </c>
      <c r="X61" s="186" t="n">
        <f aca="false">IF($O61="Active",SUMPRODUCT(($AH$5:$AH$115=$AH61)*1),0)</f>
        <v>1</v>
      </c>
      <c r="Y61" s="186" t="n">
        <f aca="false">IF(AND($O61="Active",OR($Q61="—",$Q61="")),1,0)</f>
        <v>0</v>
      </c>
      <c r="Z61" s="186" t="n">
        <f aca="false">IF(AND($O61="Active",$L61="利害關係方",OR($R61="—",$R61="")),1,0)</f>
        <v>1</v>
      </c>
      <c r="AH61" s="35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6" t="s">
        <v>6040</v>
      </c>
      <c r="B62" s="6" t="s">
        <v>6041</v>
      </c>
      <c r="C62" s="217" t="n">
        <v>93</v>
      </c>
      <c r="D62" s="191"/>
      <c r="E62" s="191"/>
      <c r="F62" s="191" t="s">
        <v>242</v>
      </c>
      <c r="G62" s="36" t="s">
        <v>6042</v>
      </c>
      <c r="H62" s="36" t="s">
        <v>6031</v>
      </c>
      <c r="I62" s="36" t="s">
        <v>5383</v>
      </c>
      <c r="J62" s="6" t="s">
        <v>6032</v>
      </c>
      <c r="K62" s="191" t="n">
        <v>1</v>
      </c>
      <c r="L62" s="191" t="s">
        <v>5373</v>
      </c>
      <c r="M62" s="6" t="s">
        <v>6033</v>
      </c>
      <c r="N62" s="191" t="s">
        <v>5375</v>
      </c>
      <c r="O62" s="36" t="s">
        <v>5376</v>
      </c>
      <c r="P62" s="36" t="s">
        <v>587</v>
      </c>
      <c r="Q62" s="36" t="s">
        <v>6034</v>
      </c>
      <c r="R62" s="36" t="s">
        <v>587</v>
      </c>
      <c r="S62" s="36" t="s">
        <v>587</v>
      </c>
      <c r="T62" s="36" t="s">
        <v>587</v>
      </c>
      <c r="U62" s="36" t="s">
        <v>6035</v>
      </c>
      <c r="V62" s="6" t="s">
        <v>587</v>
      </c>
      <c r="W62" s="6" t="s">
        <v>6043</v>
      </c>
      <c r="X62" s="186" t="n">
        <f aca="false">IF($O62="Active",SUMPRODUCT(($AH$5:$AH$115=$AH62)*1),0)</f>
        <v>1</v>
      </c>
      <c r="Y62" s="186" t="n">
        <f aca="false">IF(AND($O62="Active",OR($Q62="—",$Q62="")),1,0)</f>
        <v>0</v>
      </c>
      <c r="Z62" s="186" t="n">
        <f aca="false">IF(AND($O62="Active",$L62="利害關係方",OR($R62="—",$R62="")),1,0)</f>
        <v>1</v>
      </c>
      <c r="AH62" s="35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6" t="s">
        <v>6044</v>
      </c>
      <c r="B63" s="6" t="s">
        <v>6045</v>
      </c>
      <c r="C63" s="217" t="n">
        <v>7168</v>
      </c>
      <c r="D63" s="191"/>
      <c r="E63" s="191"/>
      <c r="F63" s="191" t="s">
        <v>5791</v>
      </c>
      <c r="G63" s="36" t="s">
        <v>6046</v>
      </c>
      <c r="H63" s="36" t="s">
        <v>6031</v>
      </c>
      <c r="I63" s="36" t="s">
        <v>5383</v>
      </c>
      <c r="J63" s="6" t="s">
        <v>6032</v>
      </c>
      <c r="K63" s="191" t="n">
        <v>1</v>
      </c>
      <c r="L63" s="191" t="s">
        <v>5373</v>
      </c>
      <c r="M63" s="6" t="s">
        <v>6033</v>
      </c>
      <c r="N63" s="191" t="s">
        <v>5375</v>
      </c>
      <c r="O63" s="36" t="s">
        <v>5376</v>
      </c>
      <c r="P63" s="36" t="s">
        <v>587</v>
      </c>
      <c r="Q63" s="36" t="s">
        <v>6034</v>
      </c>
      <c r="R63" s="36" t="s">
        <v>587</v>
      </c>
      <c r="S63" s="36" t="s">
        <v>587</v>
      </c>
      <c r="T63" s="36" t="s">
        <v>587</v>
      </c>
      <c r="U63" s="36" t="s">
        <v>6035</v>
      </c>
      <c r="V63" s="6" t="s">
        <v>587</v>
      </c>
      <c r="W63" s="6" t="s">
        <v>6047</v>
      </c>
      <c r="X63" s="186" t="n">
        <f aca="false">IF($O63="Active",SUMPRODUCT(($AH$5:$AH$115=$AH63)*1),0)</f>
        <v>1</v>
      </c>
      <c r="Y63" s="186" t="n">
        <f aca="false">IF(AND($O63="Active",OR($Q63="—",$Q63="")),1,0)</f>
        <v>0</v>
      </c>
      <c r="Z63" s="186" t="n">
        <f aca="false">IF(AND($O63="Active",$L63="利害關係方",OR($R63="—",$R63="")),1,0)</f>
        <v>1</v>
      </c>
      <c r="AH63" s="35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6" t="s">
        <v>6048</v>
      </c>
      <c r="B64" s="6" t="s">
        <v>6049</v>
      </c>
      <c r="C64" s="217" t="n">
        <v>896</v>
      </c>
      <c r="D64" s="191"/>
      <c r="E64" s="191"/>
      <c r="F64" s="191" t="s">
        <v>295</v>
      </c>
      <c r="G64" s="36" t="s">
        <v>6050</v>
      </c>
      <c r="H64" s="36" t="s">
        <v>6031</v>
      </c>
      <c r="I64" s="36" t="s">
        <v>5383</v>
      </c>
      <c r="J64" s="6" t="s">
        <v>6032</v>
      </c>
      <c r="K64" s="191" t="n">
        <v>1</v>
      </c>
      <c r="L64" s="191" t="s">
        <v>5373</v>
      </c>
      <c r="M64" s="6" t="s">
        <v>6033</v>
      </c>
      <c r="N64" s="191" t="s">
        <v>5375</v>
      </c>
      <c r="O64" s="36" t="s">
        <v>5376</v>
      </c>
      <c r="P64" s="36" t="s">
        <v>587</v>
      </c>
      <c r="Q64" s="36" t="s">
        <v>6034</v>
      </c>
      <c r="R64" s="36" t="s">
        <v>587</v>
      </c>
      <c r="S64" s="36" t="s">
        <v>587</v>
      </c>
      <c r="T64" s="36" t="s">
        <v>587</v>
      </c>
      <c r="U64" s="36" t="s">
        <v>6035</v>
      </c>
      <c r="V64" s="6" t="s">
        <v>587</v>
      </c>
      <c r="W64" s="6" t="s">
        <v>6051</v>
      </c>
      <c r="X64" s="186" t="n">
        <f aca="false">IF($O64="Active",SUMPRODUCT(($AH$5:$AH$115=$AH64)*1),0)</f>
        <v>1</v>
      </c>
      <c r="Y64" s="186" t="n">
        <f aca="false">IF(AND($O64="Active",OR($Q64="—",$Q64="")),1,0)</f>
        <v>0</v>
      </c>
      <c r="Z64" s="186" t="n">
        <f aca="false">IF(AND($O64="Active",$L64="利害關係方",OR($R64="—",$R64="")),1,0)</f>
        <v>1</v>
      </c>
      <c r="AH64" s="35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6" t="s">
        <v>6052</v>
      </c>
      <c r="B65" s="6" t="s">
        <v>6053</v>
      </c>
      <c r="C65" s="217" t="n">
        <v>16</v>
      </c>
      <c r="D65" s="191"/>
      <c r="E65" s="191"/>
      <c r="F65" s="191" t="s">
        <v>295</v>
      </c>
      <c r="G65" s="36" t="s">
        <v>6054</v>
      </c>
      <c r="H65" s="36" t="s">
        <v>6031</v>
      </c>
      <c r="I65" s="36" t="s">
        <v>5383</v>
      </c>
      <c r="J65" s="6" t="s">
        <v>6032</v>
      </c>
      <c r="K65" s="191" t="n">
        <v>1</v>
      </c>
      <c r="L65" s="191" t="s">
        <v>5373</v>
      </c>
      <c r="M65" s="6" t="s">
        <v>6033</v>
      </c>
      <c r="N65" s="191" t="s">
        <v>5375</v>
      </c>
      <c r="O65" s="36" t="s">
        <v>5376</v>
      </c>
      <c r="P65" s="36" t="s">
        <v>587</v>
      </c>
      <c r="Q65" s="36" t="s">
        <v>6034</v>
      </c>
      <c r="R65" s="36" t="s">
        <v>587</v>
      </c>
      <c r="S65" s="36" t="s">
        <v>587</v>
      </c>
      <c r="T65" s="36" t="s">
        <v>587</v>
      </c>
      <c r="U65" s="36" t="s">
        <v>6035</v>
      </c>
      <c r="V65" s="6" t="s">
        <v>587</v>
      </c>
      <c r="W65" s="6" t="s">
        <v>6055</v>
      </c>
      <c r="X65" s="186" t="n">
        <f aca="false">IF($O65="Active",SUMPRODUCT(($AH$5:$AH$115=$AH65)*1),0)</f>
        <v>1</v>
      </c>
      <c r="Y65" s="186" t="n">
        <f aca="false">IF(AND($O65="Active",OR($Q65="—",$Q65="")),1,0)</f>
        <v>0</v>
      </c>
      <c r="Z65" s="186" t="n">
        <f aca="false">IF(AND($O65="Active",$L65="利害關係方",OR($R65="—",$R65="")),1,0)</f>
        <v>1</v>
      </c>
      <c r="AH65" s="35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3" t="s">
        <v>6056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5348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214" t="s">
        <v>5363</v>
      </c>
      <c r="Y4" s="214" t="s">
        <v>5364</v>
      </c>
      <c r="Z4" s="214" t="s">
        <v>5365</v>
      </c>
      <c r="AA4" s="214" t="s">
        <v>6057</v>
      </c>
      <c r="AB4" s="214" t="s">
        <v>420</v>
      </c>
      <c r="AC4" s="77" t="s">
        <v>427</v>
      </c>
      <c r="AD4" s="77" t="s">
        <v>428</v>
      </c>
      <c r="AE4" s="214" t="s">
        <v>6058</v>
      </c>
      <c r="AF4" s="77" t="s">
        <v>6059</v>
      </c>
      <c r="AG4" s="77" t="s">
        <v>6060</v>
      </c>
      <c r="AH4" s="76" t="s">
        <v>5366</v>
      </c>
    </row>
    <row r="5" customFormat="false" ht="29.25" hidden="false" customHeight="true" outlineLevel="0" collapsed="false">
      <c r="A5" s="36" t="s">
        <v>3956</v>
      </c>
      <c r="B5" s="6" t="s">
        <v>6061</v>
      </c>
      <c r="C5" s="217" t="n">
        <v>6182</v>
      </c>
      <c r="D5" s="215"/>
      <c r="E5" s="215"/>
      <c r="F5" s="36" t="s">
        <v>6062</v>
      </c>
      <c r="G5" s="36" t="s">
        <v>6063</v>
      </c>
      <c r="H5" s="36" t="s">
        <v>147</v>
      </c>
      <c r="I5" s="36" t="s">
        <v>6064</v>
      </c>
      <c r="J5" s="6" t="s">
        <v>6065</v>
      </c>
      <c r="K5" s="215" t="n">
        <v>1</v>
      </c>
      <c r="L5" s="215" t="s">
        <v>5373</v>
      </c>
      <c r="M5" s="6" t="s">
        <v>6066</v>
      </c>
      <c r="N5" s="215" t="s">
        <v>5884</v>
      </c>
      <c r="O5" s="36" t="s">
        <v>5376</v>
      </c>
      <c r="P5" s="36" t="s">
        <v>587</v>
      </c>
      <c r="Q5" s="36" t="s">
        <v>6067</v>
      </c>
      <c r="R5" s="36" t="s">
        <v>587</v>
      </c>
      <c r="S5" s="36" t="s">
        <v>587</v>
      </c>
      <c r="T5" s="36" t="s">
        <v>587</v>
      </c>
      <c r="U5" s="36" t="s">
        <v>433</v>
      </c>
      <c r="V5" s="6" t="s">
        <v>6068</v>
      </c>
      <c r="W5" s="19" t="s">
        <v>6069</v>
      </c>
      <c r="X5" s="186" t="n">
        <f aca="false">IF($O5="Active",SUMPRODUCT(($AH$5:$AH$113=$AH5)*1),0)</f>
        <v>1</v>
      </c>
      <c r="Y5" s="186" t="n">
        <f aca="false">IF(AND($O5="Active",OR($Q5="—",$Q5="")),1,0)</f>
        <v>0</v>
      </c>
      <c r="Z5" s="186" t="n">
        <f aca="false">IF(AND($O5="Active",$L5="利害關係方",OR($R5="—",$R5="")),1,0)</f>
        <v>1</v>
      </c>
      <c r="AA5" s="36" t="s">
        <v>6070</v>
      </c>
      <c r="AB5" s="36" t="s">
        <v>6071</v>
      </c>
      <c r="AC5" s="217" t="n">
        <v>8192</v>
      </c>
      <c r="AD5" s="217" t="n">
        <v>1024</v>
      </c>
      <c r="AE5" s="217" t="n">
        <v>27</v>
      </c>
      <c r="AF5" s="217" t="n">
        <v>0</v>
      </c>
      <c r="AG5" s="215" t="s">
        <v>6072</v>
      </c>
      <c r="AH5" s="35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6" t="s">
        <v>3963</v>
      </c>
      <c r="B6" s="6" t="s">
        <v>6073</v>
      </c>
      <c r="C6" s="217" t="n">
        <v>2189</v>
      </c>
      <c r="D6" s="215"/>
      <c r="E6" s="215"/>
      <c r="F6" s="36" t="s">
        <v>6062</v>
      </c>
      <c r="G6" s="36" t="s">
        <v>6063</v>
      </c>
      <c r="H6" s="36" t="s">
        <v>146</v>
      </c>
      <c r="I6" s="36" t="s">
        <v>6064</v>
      </c>
      <c r="J6" s="6" t="s">
        <v>6065</v>
      </c>
      <c r="K6" s="215" t="n">
        <v>1</v>
      </c>
      <c r="L6" s="215" t="s">
        <v>5373</v>
      </c>
      <c r="M6" s="6" t="s">
        <v>6066</v>
      </c>
      <c r="N6" s="215" t="s">
        <v>5884</v>
      </c>
      <c r="O6" s="36" t="s">
        <v>5376</v>
      </c>
      <c r="P6" s="36" t="s">
        <v>587</v>
      </c>
      <c r="Q6" s="36" t="s">
        <v>6067</v>
      </c>
      <c r="R6" s="36" t="s">
        <v>587</v>
      </c>
      <c r="S6" s="36" t="s">
        <v>587</v>
      </c>
      <c r="T6" s="36" t="s">
        <v>587</v>
      </c>
      <c r="U6" s="36" t="s">
        <v>433</v>
      </c>
      <c r="V6" s="6" t="s">
        <v>6074</v>
      </c>
      <c r="W6" s="19" t="s">
        <v>6075</v>
      </c>
      <c r="X6" s="186" t="n">
        <f aca="false">IF($O6="Active",SUMPRODUCT(($AH$5:$AH$113=$AH6)*1),0)</f>
        <v>1</v>
      </c>
      <c r="Y6" s="186" t="n">
        <f aca="false">IF(AND($O6="Active",OR($Q6="—",$Q6="")),1,0)</f>
        <v>0</v>
      </c>
      <c r="Z6" s="186" t="n">
        <f aca="false">IF(AND($O6="Active",$L6="利害關係方",OR($R6="—",$R6="")),1,0)</f>
        <v>1</v>
      </c>
      <c r="AA6" s="36" t="s">
        <v>6070</v>
      </c>
      <c r="AB6" s="36" t="s">
        <v>6071</v>
      </c>
      <c r="AC6" s="217" t="n">
        <v>8192</v>
      </c>
      <c r="AD6" s="217" t="n">
        <v>1024</v>
      </c>
      <c r="AE6" s="217" t="n">
        <v>27</v>
      </c>
      <c r="AF6" s="217" t="n">
        <v>0</v>
      </c>
      <c r="AG6" s="215" t="s">
        <v>6072</v>
      </c>
      <c r="AH6" s="35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6" t="s">
        <v>6076</v>
      </c>
      <c r="B7" s="6" t="s">
        <v>6077</v>
      </c>
      <c r="C7" s="217" t="n">
        <v>11056</v>
      </c>
      <c r="D7" s="215"/>
      <c r="E7" s="215"/>
      <c r="F7" s="36" t="s">
        <v>539</v>
      </c>
      <c r="G7" s="36" t="s">
        <v>587</v>
      </c>
      <c r="H7" s="36" t="s">
        <v>147</v>
      </c>
      <c r="I7" s="36" t="s">
        <v>6064</v>
      </c>
      <c r="J7" s="6" t="s">
        <v>6065</v>
      </c>
      <c r="K7" s="215" t="n">
        <v>1</v>
      </c>
      <c r="L7" s="215" t="s">
        <v>5373</v>
      </c>
      <c r="M7" s="6" t="s">
        <v>6066</v>
      </c>
      <c r="N7" s="215" t="s">
        <v>5884</v>
      </c>
      <c r="O7" s="36" t="s">
        <v>5376</v>
      </c>
      <c r="P7" s="36" t="s">
        <v>587</v>
      </c>
      <c r="Q7" s="36" t="s">
        <v>6067</v>
      </c>
      <c r="R7" s="36" t="s">
        <v>587</v>
      </c>
      <c r="S7" s="36" t="s">
        <v>587</v>
      </c>
      <c r="T7" s="36" t="s">
        <v>587</v>
      </c>
      <c r="U7" s="36" t="s">
        <v>433</v>
      </c>
      <c r="V7" s="6" t="s">
        <v>587</v>
      </c>
      <c r="W7" s="6" t="s">
        <v>587</v>
      </c>
      <c r="X7" s="186" t="n">
        <f aca="false">IF($O7="Active",SUMPRODUCT(($AH$5:$AH$113=$AH7)*1),0)</f>
        <v>1</v>
      </c>
      <c r="Y7" s="186" t="n">
        <f aca="false">IF(AND($O7="Active",OR($Q7="—",$Q7="")),1,0)</f>
        <v>0</v>
      </c>
      <c r="Z7" s="186" t="n">
        <f aca="false">IF(AND($O7="Active",$L7="利害關係方",OR($R7="—",$R7="")),1,0)</f>
        <v>1</v>
      </c>
      <c r="AH7" s="35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6" t="s">
        <v>3950</v>
      </c>
      <c r="B8" s="6" t="s">
        <v>6078</v>
      </c>
      <c r="C8" s="217" t="n">
        <v>11200</v>
      </c>
      <c r="D8" s="215"/>
      <c r="E8" s="215"/>
      <c r="F8" s="36" t="s">
        <v>6062</v>
      </c>
      <c r="G8" s="36" t="s">
        <v>6063</v>
      </c>
      <c r="H8" s="36" t="s">
        <v>147</v>
      </c>
      <c r="I8" s="36" t="s">
        <v>6079</v>
      </c>
      <c r="J8" s="6" t="s">
        <v>6080</v>
      </c>
      <c r="K8" s="215" t="n">
        <v>1</v>
      </c>
      <c r="L8" s="215" t="s">
        <v>5373</v>
      </c>
      <c r="M8" s="6" t="s">
        <v>6081</v>
      </c>
      <c r="N8" s="215" t="s">
        <v>5884</v>
      </c>
      <c r="O8" s="36" t="s">
        <v>5376</v>
      </c>
      <c r="P8" s="36" t="s">
        <v>587</v>
      </c>
      <c r="Q8" s="36" t="s">
        <v>6082</v>
      </c>
      <c r="R8" s="36" t="s">
        <v>587</v>
      </c>
      <c r="S8" s="36" t="s">
        <v>587</v>
      </c>
      <c r="T8" s="36" t="s">
        <v>587</v>
      </c>
      <c r="U8" s="36" t="s">
        <v>432</v>
      </c>
      <c r="V8" s="6" t="s">
        <v>6083</v>
      </c>
      <c r="W8" s="6" t="s">
        <v>587</v>
      </c>
      <c r="X8" s="186" t="n">
        <f aca="false">IF($O8="Active",SUMPRODUCT(($AH$5:$AH$113=$AH8)*1),0)</f>
        <v>1</v>
      </c>
      <c r="Y8" s="186" t="n">
        <f aca="false">IF(AND($O8="Active",OR($Q8="—",$Q8="")),1,0)</f>
        <v>0</v>
      </c>
      <c r="Z8" s="186" t="n">
        <f aca="false">IF(AND($O8="Active",$L8="利害關係方",OR($R8="—",$R8="")),1,0)</f>
        <v>1</v>
      </c>
      <c r="AA8" s="36" t="s">
        <v>6070</v>
      </c>
      <c r="AB8" s="36" t="s">
        <v>6084</v>
      </c>
      <c r="AC8" s="217" t="n">
        <v>8192</v>
      </c>
      <c r="AD8" s="217" t="n">
        <v>1024</v>
      </c>
      <c r="AE8" s="217" t="n">
        <v>50</v>
      </c>
      <c r="AF8" s="217" t="n">
        <v>1</v>
      </c>
      <c r="AG8" s="215" t="s">
        <v>6072</v>
      </c>
      <c r="AH8" s="35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6" t="s">
        <v>3778</v>
      </c>
      <c r="B9" s="6" t="s">
        <v>6085</v>
      </c>
      <c r="C9" s="217" t="n">
        <v>0.7</v>
      </c>
      <c r="D9" s="215"/>
      <c r="E9" s="215"/>
      <c r="F9" s="36" t="s">
        <v>79</v>
      </c>
      <c r="G9" s="36" t="s">
        <v>6086</v>
      </c>
      <c r="H9" s="36" t="s">
        <v>5815</v>
      </c>
      <c r="I9" s="36" t="s">
        <v>6079</v>
      </c>
      <c r="J9" s="6" t="s">
        <v>6080</v>
      </c>
      <c r="K9" s="215" t="n">
        <v>1</v>
      </c>
      <c r="L9" s="215" t="s">
        <v>5373</v>
      </c>
      <c r="M9" s="6" t="s">
        <v>6081</v>
      </c>
      <c r="N9" s="215" t="s">
        <v>5884</v>
      </c>
      <c r="O9" s="36" t="s">
        <v>5376</v>
      </c>
      <c r="P9" s="36" t="s">
        <v>587</v>
      </c>
      <c r="Q9" s="36" t="s">
        <v>6082</v>
      </c>
      <c r="R9" s="36" t="s">
        <v>587</v>
      </c>
      <c r="S9" s="36" t="s">
        <v>587</v>
      </c>
      <c r="T9" s="36" t="s">
        <v>587</v>
      </c>
      <c r="U9" s="36" t="s">
        <v>432</v>
      </c>
      <c r="V9" s="6" t="s">
        <v>6087</v>
      </c>
      <c r="W9" s="19" t="s">
        <v>6088</v>
      </c>
      <c r="X9" s="186" t="n">
        <f aca="false">IF($O9="Active",SUMPRODUCT(($AH$5:$AH$113=$AH9)*1),0)</f>
        <v>1</v>
      </c>
      <c r="Y9" s="186" t="n">
        <f aca="false">IF(AND($O9="Active",OR($Q9="—",$Q9="")),1,0)</f>
        <v>0</v>
      </c>
      <c r="Z9" s="186" t="n">
        <f aca="false">IF(AND($O9="Active",$L9="利害關係方",OR($R9="—",$R9="")),1,0)</f>
        <v>1</v>
      </c>
      <c r="AH9" s="35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6" t="s">
        <v>6089</v>
      </c>
      <c r="B10" s="6" t="s">
        <v>6090</v>
      </c>
      <c r="C10" s="217" t="n">
        <v>0.57</v>
      </c>
      <c r="D10" s="215"/>
      <c r="E10" s="215"/>
      <c r="F10" s="36" t="s">
        <v>79</v>
      </c>
      <c r="G10" s="36" t="s">
        <v>6091</v>
      </c>
      <c r="H10" s="36" t="s">
        <v>5815</v>
      </c>
      <c r="I10" s="36" t="s">
        <v>6079</v>
      </c>
      <c r="J10" s="6" t="s">
        <v>6080</v>
      </c>
      <c r="K10" s="215" t="n">
        <v>1</v>
      </c>
      <c r="L10" s="215" t="s">
        <v>5373</v>
      </c>
      <c r="M10" s="6" t="s">
        <v>6081</v>
      </c>
      <c r="N10" s="215" t="s">
        <v>5884</v>
      </c>
      <c r="O10" s="36" t="s">
        <v>5460</v>
      </c>
      <c r="P10" s="36" t="s">
        <v>587</v>
      </c>
      <c r="Q10" s="36" t="s">
        <v>6082</v>
      </c>
      <c r="R10" s="36" t="s">
        <v>587</v>
      </c>
      <c r="S10" s="36" t="s">
        <v>587</v>
      </c>
      <c r="T10" s="36" t="s">
        <v>587</v>
      </c>
      <c r="U10" s="36" t="s">
        <v>432</v>
      </c>
      <c r="V10" s="6" t="s">
        <v>587</v>
      </c>
      <c r="W10" s="19" t="s">
        <v>6092</v>
      </c>
      <c r="X10" s="186" t="n">
        <f aca="false">IF($O10="Active",SUMPRODUCT(($AH$5:$AH$113=$AH10)*1),0)</f>
        <v>0</v>
      </c>
      <c r="Y10" s="186" t="n">
        <f aca="false">IF(AND($O10="Active",OR($Q10="—",$Q10="")),1,0)</f>
        <v>0</v>
      </c>
      <c r="Z10" s="186" t="n">
        <f aca="false">IF(AND($O10="Active",$L10="利害關係方",OR($R10="—",$R10="")),1,0)</f>
        <v>0</v>
      </c>
      <c r="AH10" s="35" t="str">
        <f aca="false">IF($O10="Active",$B10&amp;"¦"&amp;$G10&amp;"¦"&amp;$H10,"")</f>
        <v/>
      </c>
    </row>
    <row r="11" customFormat="false" ht="23.25" hidden="false" customHeight="true" outlineLevel="0" collapsed="false">
      <c r="A11" s="36" t="s">
        <v>3586</v>
      </c>
      <c r="B11" s="6" t="s">
        <v>6093</v>
      </c>
      <c r="C11" s="217" t="n">
        <v>4</v>
      </c>
      <c r="D11" s="215"/>
      <c r="E11" s="215"/>
      <c r="F11" s="36" t="s">
        <v>698</v>
      </c>
      <c r="G11" s="36" t="s">
        <v>6094</v>
      </c>
      <c r="H11" s="36" t="s">
        <v>147</v>
      </c>
      <c r="I11" s="36" t="s">
        <v>6079</v>
      </c>
      <c r="J11" s="6" t="s">
        <v>6080</v>
      </c>
      <c r="K11" s="215" t="n">
        <v>1</v>
      </c>
      <c r="L11" s="215" t="s">
        <v>5373</v>
      </c>
      <c r="M11" s="6" t="s">
        <v>6081</v>
      </c>
      <c r="N11" s="215" t="s">
        <v>5884</v>
      </c>
      <c r="O11" s="36" t="s">
        <v>5376</v>
      </c>
      <c r="P11" s="36" t="s">
        <v>587</v>
      </c>
      <c r="Q11" s="36" t="s">
        <v>6082</v>
      </c>
      <c r="R11" s="36" t="s">
        <v>587</v>
      </c>
      <c r="S11" s="36" t="s">
        <v>587</v>
      </c>
      <c r="T11" s="36" t="s">
        <v>587</v>
      </c>
      <c r="U11" s="36" t="s">
        <v>432</v>
      </c>
      <c r="V11" s="6" t="s">
        <v>6095</v>
      </c>
      <c r="W11" s="6" t="s">
        <v>6096</v>
      </c>
      <c r="X11" s="186" t="n">
        <f aca="false">IF($O11="Active",SUMPRODUCT(($AH$5:$AH$113=$AH11)*1),0)</f>
        <v>1</v>
      </c>
      <c r="Y11" s="186" t="n">
        <f aca="false">IF(AND($O11="Active",OR($Q11="—",$Q11="")),1,0)</f>
        <v>0</v>
      </c>
      <c r="Z11" s="186" t="n">
        <f aca="false">IF(AND($O11="Active",$L11="利害關係方",OR($R11="—",$R11="")),1,0)</f>
        <v>1</v>
      </c>
      <c r="AH11" s="35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6" t="s">
        <v>3549</v>
      </c>
      <c r="B12" s="6" t="s">
        <v>6097</v>
      </c>
      <c r="C12" s="217" t="n">
        <v>32</v>
      </c>
      <c r="D12" s="215"/>
      <c r="E12" s="215"/>
      <c r="F12" s="36" t="s">
        <v>698</v>
      </c>
      <c r="G12" s="36" t="s">
        <v>6098</v>
      </c>
      <c r="H12" s="36" t="s">
        <v>147</v>
      </c>
      <c r="I12" s="36" t="s">
        <v>6079</v>
      </c>
      <c r="J12" s="6" t="s">
        <v>6080</v>
      </c>
      <c r="K12" s="215" t="n">
        <v>1</v>
      </c>
      <c r="L12" s="215" t="s">
        <v>5373</v>
      </c>
      <c r="M12" s="6" t="s">
        <v>6081</v>
      </c>
      <c r="N12" s="215" t="s">
        <v>5884</v>
      </c>
      <c r="O12" s="36" t="s">
        <v>5376</v>
      </c>
      <c r="P12" s="36" t="s">
        <v>587</v>
      </c>
      <c r="Q12" s="36" t="s">
        <v>6082</v>
      </c>
      <c r="R12" s="36" t="s">
        <v>587</v>
      </c>
      <c r="S12" s="36" t="s">
        <v>587</v>
      </c>
      <c r="T12" s="36" t="s">
        <v>587</v>
      </c>
      <c r="U12" s="36" t="s">
        <v>432</v>
      </c>
      <c r="V12" s="6" t="s">
        <v>6099</v>
      </c>
      <c r="W12" s="6" t="s">
        <v>6096</v>
      </c>
      <c r="X12" s="186" t="n">
        <f aca="false">IF($O12="Active",SUMPRODUCT(($AH$5:$AH$113=$AH12)*1),0)</f>
        <v>1</v>
      </c>
      <c r="Y12" s="186" t="n">
        <f aca="false">IF(AND($O12="Active",OR($Q12="—",$Q12="")),1,0)</f>
        <v>0</v>
      </c>
      <c r="Z12" s="186" t="n">
        <f aca="false">IF(AND($O12="Active",$L12="利害關係方",OR($R12="—",$R12="")),1,0)</f>
        <v>1</v>
      </c>
      <c r="AH12" s="35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6" t="s">
        <v>3933</v>
      </c>
      <c r="B13" s="6" t="s">
        <v>6100</v>
      </c>
      <c r="C13" s="217" t="n">
        <v>9342.1</v>
      </c>
      <c r="D13" s="215"/>
      <c r="E13" s="215"/>
      <c r="F13" s="36" t="s">
        <v>6062</v>
      </c>
      <c r="G13" s="36" t="s">
        <v>6101</v>
      </c>
      <c r="H13" s="36" t="s">
        <v>147</v>
      </c>
      <c r="I13" s="215" t="s">
        <v>6102</v>
      </c>
      <c r="J13" s="6" t="s">
        <v>6103</v>
      </c>
      <c r="K13" s="215" t="n">
        <v>2</v>
      </c>
      <c r="L13" s="215" t="s">
        <v>5373</v>
      </c>
      <c r="M13" s="6" t="s">
        <v>6104</v>
      </c>
      <c r="N13" s="215" t="s">
        <v>5375</v>
      </c>
      <c r="O13" s="36" t="s">
        <v>5376</v>
      </c>
      <c r="P13" s="36" t="s">
        <v>587</v>
      </c>
      <c r="Q13" s="36" t="s">
        <v>6105</v>
      </c>
      <c r="R13" s="36" t="s">
        <v>587</v>
      </c>
      <c r="S13" s="36" t="s">
        <v>5154</v>
      </c>
      <c r="T13" s="36" t="s">
        <v>587</v>
      </c>
      <c r="U13" s="36" t="s">
        <v>431</v>
      </c>
      <c r="V13" s="6" t="s">
        <v>6106</v>
      </c>
      <c r="W13" s="19" t="s">
        <v>6107</v>
      </c>
      <c r="X13" s="186" t="n">
        <f aca="false">IF($O13="Active",SUMPRODUCT(($AH$5:$AH$113=$AH13)*1),0)</f>
        <v>1</v>
      </c>
      <c r="Y13" s="186" t="n">
        <f aca="false">IF(AND($O13="Active",OR($Q13="—",$Q13="")),1,0)</f>
        <v>0</v>
      </c>
      <c r="Z13" s="186" t="n">
        <f aca="false">IF(AND($O13="Active",$L13="利害關係方",OR($R13="—",$R13="")),1,0)</f>
        <v>1</v>
      </c>
      <c r="AA13" s="36" t="s">
        <v>6070</v>
      </c>
      <c r="AB13" s="36" t="s">
        <v>6108</v>
      </c>
      <c r="AC13" s="217" t="n">
        <v>8192</v>
      </c>
      <c r="AD13" s="217" t="n">
        <v>1024</v>
      </c>
      <c r="AE13" s="217" t="n">
        <v>72</v>
      </c>
      <c r="AF13" s="217" t="n">
        <v>1</v>
      </c>
      <c r="AG13" s="215" t="s">
        <v>6072</v>
      </c>
      <c r="AH13" s="35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6" t="s">
        <v>3942</v>
      </c>
      <c r="B14" s="6" t="s">
        <v>6109</v>
      </c>
      <c r="C14" s="217" t="n">
        <v>3405.2</v>
      </c>
      <c r="D14" s="215"/>
      <c r="E14" s="215"/>
      <c r="F14" s="36" t="s">
        <v>6062</v>
      </c>
      <c r="G14" s="36" t="s">
        <v>6101</v>
      </c>
      <c r="H14" s="36" t="s">
        <v>147</v>
      </c>
      <c r="I14" s="215" t="s">
        <v>6102</v>
      </c>
      <c r="J14" s="6" t="s">
        <v>6103</v>
      </c>
      <c r="K14" s="215" t="n">
        <v>2</v>
      </c>
      <c r="L14" s="215" t="s">
        <v>5373</v>
      </c>
      <c r="M14" s="6" t="s">
        <v>6104</v>
      </c>
      <c r="N14" s="215" t="s">
        <v>5375</v>
      </c>
      <c r="O14" s="36" t="s">
        <v>5376</v>
      </c>
      <c r="P14" s="36" t="s">
        <v>587</v>
      </c>
      <c r="Q14" s="36" t="s">
        <v>6110</v>
      </c>
      <c r="R14" s="36" t="s">
        <v>587</v>
      </c>
      <c r="S14" s="36" t="s">
        <v>5154</v>
      </c>
      <c r="T14" s="36" t="s">
        <v>587</v>
      </c>
      <c r="U14" s="36" t="s">
        <v>431</v>
      </c>
      <c r="V14" s="6" t="s">
        <v>6111</v>
      </c>
      <c r="W14" s="19" t="s">
        <v>6112</v>
      </c>
      <c r="X14" s="186" t="n">
        <f aca="false">IF($O14="Active",SUMPRODUCT(($AH$5:$AH$113=$AH14)*1),0)</f>
        <v>1</v>
      </c>
      <c r="Y14" s="186" t="n">
        <f aca="false">IF(AND($O14="Active",OR($Q14="—",$Q14="")),1,0)</f>
        <v>0</v>
      </c>
      <c r="Z14" s="186" t="n">
        <f aca="false">IF(AND($O14="Active",$L14="利害關係方",OR($R14="—",$R14="")),1,0)</f>
        <v>1</v>
      </c>
      <c r="AA14" s="36" t="s">
        <v>6070</v>
      </c>
      <c r="AB14" s="36" t="s">
        <v>6108</v>
      </c>
      <c r="AC14" s="217" t="n">
        <v>8192</v>
      </c>
      <c r="AD14" s="217" t="n">
        <v>1024</v>
      </c>
      <c r="AE14" s="217" t="n">
        <v>130</v>
      </c>
      <c r="AF14" s="217" t="n">
        <v>1</v>
      </c>
      <c r="AG14" s="215" t="s">
        <v>6072</v>
      </c>
      <c r="AH14" s="35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6" t="s">
        <v>2379</v>
      </c>
      <c r="B15" s="6" t="s">
        <v>6113</v>
      </c>
      <c r="C15" s="217" t="n">
        <v>0.078</v>
      </c>
      <c r="D15" s="215"/>
      <c r="E15" s="215"/>
      <c r="F15" s="36" t="s">
        <v>6114</v>
      </c>
      <c r="G15" s="36" t="s">
        <v>6115</v>
      </c>
      <c r="H15" s="36" t="s">
        <v>147</v>
      </c>
      <c r="I15" s="215" t="s">
        <v>6102</v>
      </c>
      <c r="J15" s="6" t="s">
        <v>6103</v>
      </c>
      <c r="K15" s="215" t="n">
        <v>3</v>
      </c>
      <c r="L15" s="215" t="s">
        <v>5373</v>
      </c>
      <c r="M15" s="6" t="s">
        <v>6104</v>
      </c>
      <c r="N15" s="215" t="s">
        <v>6116</v>
      </c>
      <c r="O15" s="36" t="s">
        <v>5376</v>
      </c>
      <c r="P15" s="36" t="s">
        <v>587</v>
      </c>
      <c r="Q15" s="36" t="s">
        <v>6117</v>
      </c>
      <c r="R15" s="36" t="s">
        <v>587</v>
      </c>
      <c r="S15" s="36" t="s">
        <v>587</v>
      </c>
      <c r="T15" s="36" t="s">
        <v>587</v>
      </c>
      <c r="U15" s="36" t="s">
        <v>431</v>
      </c>
      <c r="V15" s="6" t="s">
        <v>6118</v>
      </c>
      <c r="W15" s="6" t="s">
        <v>587</v>
      </c>
      <c r="X15" s="186" t="n">
        <f aca="false">IF($O15="Active",SUMPRODUCT(($AH$5:$AH$113=$AH15)*1),0)</f>
        <v>1</v>
      </c>
      <c r="Y15" s="186" t="n">
        <f aca="false">IF(AND($O15="Active",OR($Q15="—",$Q15="")),1,0)</f>
        <v>0</v>
      </c>
      <c r="Z15" s="186" t="n">
        <f aca="false">IF(AND($O15="Active",$L15="利害關係方",OR($R15="—",$R15="")),1,0)</f>
        <v>1</v>
      </c>
      <c r="AH15" s="35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6" t="s">
        <v>6119</v>
      </c>
      <c r="B16" s="6" t="s">
        <v>6120</v>
      </c>
      <c r="C16" s="217" t="n">
        <v>0.216</v>
      </c>
      <c r="D16" s="215"/>
      <c r="E16" s="215"/>
      <c r="F16" s="36" t="s">
        <v>6114</v>
      </c>
      <c r="G16" s="36" t="s">
        <v>6115</v>
      </c>
      <c r="H16" s="36" t="s">
        <v>147</v>
      </c>
      <c r="I16" s="215" t="s">
        <v>6102</v>
      </c>
      <c r="J16" s="6" t="s">
        <v>6103</v>
      </c>
      <c r="K16" s="215" t="n">
        <v>3</v>
      </c>
      <c r="L16" s="215" t="s">
        <v>5373</v>
      </c>
      <c r="M16" s="6" t="s">
        <v>6104</v>
      </c>
      <c r="N16" s="215" t="s">
        <v>6116</v>
      </c>
      <c r="O16" s="36" t="s">
        <v>5376</v>
      </c>
      <c r="P16" s="36" t="s">
        <v>587</v>
      </c>
      <c r="Q16" s="36" t="s">
        <v>6117</v>
      </c>
      <c r="R16" s="36" t="s">
        <v>587</v>
      </c>
      <c r="S16" s="36" t="s">
        <v>587</v>
      </c>
      <c r="T16" s="36" t="s">
        <v>587</v>
      </c>
      <c r="U16" s="36" t="s">
        <v>431</v>
      </c>
      <c r="V16" s="6" t="s">
        <v>587</v>
      </c>
      <c r="W16" s="6" t="s">
        <v>587</v>
      </c>
      <c r="X16" s="186" t="n">
        <f aca="false">IF($O16="Active",SUMPRODUCT(($AH$5:$AH$113=$AH16)*1),0)</f>
        <v>1</v>
      </c>
      <c r="Y16" s="186" t="n">
        <f aca="false">IF(AND($O16="Active",OR($Q16="—",$Q16="")),1,0)</f>
        <v>0</v>
      </c>
      <c r="Z16" s="186" t="n">
        <f aca="false">IF(AND($O16="Active",$L16="利害關係方",OR($R16="—",$R16="")),1,0)</f>
        <v>1</v>
      </c>
      <c r="AH16" s="35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6" t="s">
        <v>6121</v>
      </c>
      <c r="B17" s="6" t="s">
        <v>6122</v>
      </c>
      <c r="C17" s="217" t="n">
        <v>1.436</v>
      </c>
      <c r="D17" s="215"/>
      <c r="E17" s="215"/>
      <c r="F17" s="36" t="s">
        <v>6114</v>
      </c>
      <c r="G17" s="36" t="s">
        <v>6115</v>
      </c>
      <c r="H17" s="36" t="s">
        <v>147</v>
      </c>
      <c r="I17" s="215" t="s">
        <v>6102</v>
      </c>
      <c r="J17" s="6" t="s">
        <v>6103</v>
      </c>
      <c r="K17" s="215" t="n">
        <v>3</v>
      </c>
      <c r="L17" s="215" t="s">
        <v>5373</v>
      </c>
      <c r="M17" s="6" t="s">
        <v>6104</v>
      </c>
      <c r="N17" s="215" t="s">
        <v>6116</v>
      </c>
      <c r="O17" s="36" t="s">
        <v>5376</v>
      </c>
      <c r="P17" s="36" t="s">
        <v>587</v>
      </c>
      <c r="Q17" s="36" t="s">
        <v>6117</v>
      </c>
      <c r="R17" s="36" t="s">
        <v>587</v>
      </c>
      <c r="S17" s="36" t="s">
        <v>587</v>
      </c>
      <c r="T17" s="36" t="s">
        <v>587</v>
      </c>
      <c r="U17" s="36" t="s">
        <v>431</v>
      </c>
      <c r="V17" s="6" t="s">
        <v>587</v>
      </c>
      <c r="W17" s="6" t="s">
        <v>587</v>
      </c>
      <c r="X17" s="186" t="n">
        <f aca="false">IF($O17="Active",SUMPRODUCT(($AH$5:$AH$113=$AH17)*1),0)</f>
        <v>1</v>
      </c>
      <c r="Y17" s="186" t="n">
        <f aca="false">IF(AND($O17="Active",OR($Q17="—",$Q17="")),1,0)</f>
        <v>0</v>
      </c>
      <c r="Z17" s="186" t="n">
        <f aca="false">IF(AND($O17="Active",$L17="利害關係方",OR($R17="—",$R17="")),1,0)</f>
        <v>1</v>
      </c>
      <c r="AH17" s="35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6" t="s">
        <v>3973</v>
      </c>
      <c r="B18" s="6" t="s">
        <v>6123</v>
      </c>
      <c r="C18" s="217" t="n">
        <v>3795.5</v>
      </c>
      <c r="D18" s="215"/>
      <c r="E18" s="215"/>
      <c r="F18" s="36" t="s">
        <v>539</v>
      </c>
      <c r="G18" s="215" t="s">
        <v>6124</v>
      </c>
      <c r="H18" s="36" t="s">
        <v>146</v>
      </c>
      <c r="I18" s="36" t="s">
        <v>6125</v>
      </c>
      <c r="J18" s="6" t="s">
        <v>6126</v>
      </c>
      <c r="K18" s="215" t="n">
        <v>1</v>
      </c>
      <c r="L18" s="215" t="s">
        <v>5373</v>
      </c>
      <c r="M18" s="6" t="s">
        <v>6127</v>
      </c>
      <c r="N18" s="215" t="s">
        <v>5884</v>
      </c>
      <c r="O18" s="36" t="s">
        <v>5376</v>
      </c>
      <c r="P18" s="36" t="s">
        <v>587</v>
      </c>
      <c r="Q18" s="36" t="s">
        <v>6128</v>
      </c>
      <c r="R18" s="36" t="s">
        <v>587</v>
      </c>
      <c r="S18" s="36" t="s">
        <v>587</v>
      </c>
      <c r="T18" s="36" t="s">
        <v>587</v>
      </c>
      <c r="U18" s="36" t="s">
        <v>434</v>
      </c>
      <c r="V18" s="6" t="s">
        <v>6129</v>
      </c>
      <c r="W18" s="19" t="s">
        <v>2899</v>
      </c>
      <c r="X18" s="186" t="n">
        <f aca="false">IF($O18="Active",SUMPRODUCT(($AH$5:$AH$113=$AH18)*1),0)</f>
        <v>1</v>
      </c>
      <c r="Y18" s="186" t="n">
        <f aca="false">IF(AND($O18="Active",OR($Q18="—",$Q18="")),1,0)</f>
        <v>0</v>
      </c>
      <c r="Z18" s="186" t="n">
        <f aca="false">IF(AND($O18="Active",$L18="利害關係方",OR($R18="—",$R18="")),1,0)</f>
        <v>1</v>
      </c>
      <c r="AA18" s="36" t="s">
        <v>6070</v>
      </c>
      <c r="AB18" s="36" t="s">
        <v>6130</v>
      </c>
      <c r="AC18" s="217" t="n">
        <v>8192</v>
      </c>
      <c r="AD18" s="217" t="n">
        <v>1024</v>
      </c>
      <c r="AE18" s="217" t="n">
        <v>110</v>
      </c>
      <c r="AF18" s="217" t="n">
        <v>1</v>
      </c>
      <c r="AG18" s="215" t="s">
        <v>6072</v>
      </c>
      <c r="AH18" s="35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6" t="s">
        <v>3984</v>
      </c>
      <c r="B19" s="6" t="s">
        <v>6131</v>
      </c>
      <c r="C19" s="217" t="n">
        <v>6522.4</v>
      </c>
      <c r="D19" s="215"/>
      <c r="E19" s="215"/>
      <c r="F19" s="36" t="s">
        <v>539</v>
      </c>
      <c r="G19" s="215" t="s">
        <v>105</v>
      </c>
      <c r="H19" s="36" t="s">
        <v>147</v>
      </c>
      <c r="I19" s="36" t="s">
        <v>6125</v>
      </c>
      <c r="J19" s="6" t="s">
        <v>6126</v>
      </c>
      <c r="K19" s="215" t="n">
        <v>1</v>
      </c>
      <c r="L19" s="215" t="s">
        <v>5373</v>
      </c>
      <c r="M19" s="6" t="s">
        <v>6127</v>
      </c>
      <c r="N19" s="215" t="s">
        <v>5884</v>
      </c>
      <c r="O19" s="36" t="s">
        <v>5376</v>
      </c>
      <c r="P19" s="36" t="s">
        <v>587</v>
      </c>
      <c r="Q19" s="36" t="s">
        <v>6128</v>
      </c>
      <c r="R19" s="36" t="s">
        <v>587</v>
      </c>
      <c r="S19" s="36" t="s">
        <v>587</v>
      </c>
      <c r="T19" s="36" t="s">
        <v>587</v>
      </c>
      <c r="U19" s="36" t="s">
        <v>434</v>
      </c>
      <c r="V19" s="6" t="s">
        <v>6132</v>
      </c>
      <c r="W19" s="19" t="s">
        <v>2899</v>
      </c>
      <c r="X19" s="186" t="n">
        <f aca="false">IF($O19="Active",SUMPRODUCT(($AH$5:$AH$113=$AH19)*1),0)</f>
        <v>1</v>
      </c>
      <c r="Y19" s="186" t="n">
        <f aca="false">IF(AND($O19="Active",OR($Q19="—",$Q19="")),1,0)</f>
        <v>0</v>
      </c>
      <c r="Z19" s="186" t="n">
        <f aca="false">IF(AND($O19="Active",$L19="利害關係方",OR($R19="—",$R19="")),1,0)</f>
        <v>1</v>
      </c>
      <c r="AA19" s="36" t="s">
        <v>6070</v>
      </c>
      <c r="AB19" s="36" t="s">
        <v>6130</v>
      </c>
      <c r="AC19" s="217" t="n">
        <v>8192</v>
      </c>
      <c r="AD19" s="217" t="n">
        <v>1024</v>
      </c>
      <c r="AE19" s="217" t="n">
        <v>110</v>
      </c>
      <c r="AF19" s="217" t="n">
        <v>1</v>
      </c>
      <c r="AG19" s="215" t="s">
        <v>6072</v>
      </c>
      <c r="AH19" s="35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6" t="s">
        <v>6133</v>
      </c>
      <c r="B20" s="6" t="s">
        <v>6134</v>
      </c>
      <c r="C20" s="217" t="n">
        <v>4036</v>
      </c>
      <c r="D20" s="215"/>
      <c r="E20" s="215"/>
      <c r="F20" s="36" t="s">
        <v>539</v>
      </c>
      <c r="G20" s="215" t="s">
        <v>2899</v>
      </c>
      <c r="H20" s="36" t="s">
        <v>6135</v>
      </c>
      <c r="I20" s="36" t="s">
        <v>1192</v>
      </c>
      <c r="J20" s="6" t="s">
        <v>6136</v>
      </c>
      <c r="K20" s="215" t="n">
        <v>1</v>
      </c>
      <c r="L20" s="215" t="s">
        <v>5373</v>
      </c>
      <c r="M20" s="6" t="s">
        <v>6137</v>
      </c>
      <c r="N20" s="215" t="s">
        <v>5884</v>
      </c>
      <c r="O20" s="36" t="s">
        <v>5376</v>
      </c>
      <c r="P20" s="36" t="s">
        <v>587</v>
      </c>
      <c r="Q20" s="36" t="s">
        <v>6138</v>
      </c>
      <c r="R20" s="36" t="s">
        <v>587</v>
      </c>
      <c r="S20" s="36" t="s">
        <v>587</v>
      </c>
      <c r="T20" s="36" t="s">
        <v>587</v>
      </c>
      <c r="U20" s="36" t="s">
        <v>6139</v>
      </c>
      <c r="V20" s="6" t="s">
        <v>587</v>
      </c>
      <c r="W20" s="19" t="s">
        <v>6140</v>
      </c>
      <c r="X20" s="186" t="n">
        <f aca="false">IF($O20="Active",SUMPRODUCT(($AH$5:$AH$113=$AH20)*1),0)</f>
        <v>1</v>
      </c>
      <c r="Y20" s="186" t="n">
        <f aca="false">IF(AND($O20="Active",OR($Q20="—",$Q20="")),1,0)</f>
        <v>0</v>
      </c>
      <c r="Z20" s="186" t="n">
        <f aca="false">IF(AND($O20="Active",$L20="利害關係方",OR($R20="—",$R20="")),1,0)</f>
        <v>1</v>
      </c>
      <c r="AH20" s="35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6" t="s">
        <v>6141</v>
      </c>
      <c r="B21" s="6" t="s">
        <v>6142</v>
      </c>
      <c r="C21" s="217" t="n">
        <v>3102</v>
      </c>
      <c r="D21" s="215"/>
      <c r="E21" s="215"/>
      <c r="F21" s="36" t="s">
        <v>539</v>
      </c>
      <c r="G21" s="215" t="s">
        <v>2899</v>
      </c>
      <c r="H21" s="36" t="s">
        <v>6135</v>
      </c>
      <c r="I21" s="36" t="s">
        <v>1192</v>
      </c>
      <c r="J21" s="6" t="s">
        <v>6136</v>
      </c>
      <c r="K21" s="215" t="n">
        <v>1</v>
      </c>
      <c r="L21" s="215" t="s">
        <v>5373</v>
      </c>
      <c r="M21" s="6" t="s">
        <v>6137</v>
      </c>
      <c r="N21" s="215" t="s">
        <v>5884</v>
      </c>
      <c r="O21" s="36" t="s">
        <v>5376</v>
      </c>
      <c r="P21" s="36" t="s">
        <v>587</v>
      </c>
      <c r="Q21" s="36" t="s">
        <v>6138</v>
      </c>
      <c r="R21" s="36" t="s">
        <v>587</v>
      </c>
      <c r="S21" s="36" t="s">
        <v>587</v>
      </c>
      <c r="T21" s="36" t="s">
        <v>587</v>
      </c>
      <c r="U21" s="36" t="s">
        <v>6139</v>
      </c>
      <c r="V21" s="6" t="s">
        <v>587</v>
      </c>
      <c r="W21" s="19" t="s">
        <v>6140</v>
      </c>
      <c r="X21" s="186" t="n">
        <f aca="false">IF($O21="Active",SUMPRODUCT(($AH$5:$AH$113=$AH21)*1),0)</f>
        <v>1</v>
      </c>
      <c r="Y21" s="186" t="n">
        <f aca="false">IF(AND($O21="Active",OR($Q21="—",$Q21="")),1,0)</f>
        <v>0</v>
      </c>
      <c r="Z21" s="186" t="n">
        <f aca="false">IF(AND($O21="Active",$L21="利害關係方",OR($R21="—",$R21="")),1,0)</f>
        <v>1</v>
      </c>
      <c r="AH21" s="35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6" t="s">
        <v>3806</v>
      </c>
      <c r="B22" s="19" t="s">
        <v>6143</v>
      </c>
      <c r="C22" s="217" t="n">
        <v>120</v>
      </c>
      <c r="D22" s="215"/>
      <c r="E22" s="215"/>
      <c r="F22" s="36" t="s">
        <v>6144</v>
      </c>
      <c r="G22" s="215" t="s">
        <v>6145</v>
      </c>
      <c r="H22" s="36" t="s">
        <v>6146</v>
      </c>
      <c r="I22" s="36" t="s">
        <v>1189</v>
      </c>
      <c r="J22" s="6" t="s">
        <v>6147</v>
      </c>
      <c r="K22" s="215" t="n">
        <v>1</v>
      </c>
      <c r="L22" s="215" t="s">
        <v>5477</v>
      </c>
      <c r="M22" s="6" t="s">
        <v>6148</v>
      </c>
      <c r="N22" s="215" t="s">
        <v>5884</v>
      </c>
      <c r="O22" s="36" t="s">
        <v>5376</v>
      </c>
      <c r="P22" s="36" t="s">
        <v>587</v>
      </c>
      <c r="Q22" s="36" t="s">
        <v>6149</v>
      </c>
      <c r="R22" s="36" t="s">
        <v>587</v>
      </c>
      <c r="S22" s="36" t="s">
        <v>587</v>
      </c>
      <c r="T22" s="36" t="s">
        <v>587</v>
      </c>
      <c r="U22" s="36" t="s">
        <v>6150</v>
      </c>
      <c r="V22" s="6" t="s">
        <v>6151</v>
      </c>
      <c r="W22" s="6" t="s">
        <v>3807</v>
      </c>
      <c r="X22" s="186" t="n">
        <f aca="false">IF($O22="Active",SUMPRODUCT(($AH$5:$AH$113=$AH22)*1),0)</f>
        <v>1</v>
      </c>
      <c r="Y22" s="186" t="n">
        <f aca="false">IF(AND($O22="Active",OR($Q22="—",$Q22="")),1,0)</f>
        <v>0</v>
      </c>
      <c r="Z22" s="186" t="n">
        <f aca="false">IF(AND($O22="Active",$L22="利害關係方",OR($R22="—",$R22="")),1,0)</f>
        <v>0</v>
      </c>
      <c r="AH22" s="35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6" t="s">
        <v>3809</v>
      </c>
      <c r="B23" s="19" t="s">
        <v>6152</v>
      </c>
      <c r="C23" s="217" t="n">
        <v>68</v>
      </c>
      <c r="D23" s="215"/>
      <c r="E23" s="215"/>
      <c r="F23" s="36" t="s">
        <v>6144</v>
      </c>
      <c r="G23" s="215" t="s">
        <v>6145</v>
      </c>
      <c r="H23" s="36" t="s">
        <v>6153</v>
      </c>
      <c r="I23" s="36" t="s">
        <v>1189</v>
      </c>
      <c r="J23" s="6" t="s">
        <v>6147</v>
      </c>
      <c r="K23" s="215" t="n">
        <v>1</v>
      </c>
      <c r="L23" s="215" t="s">
        <v>5477</v>
      </c>
      <c r="M23" s="6" t="s">
        <v>6148</v>
      </c>
      <c r="N23" s="215" t="s">
        <v>5884</v>
      </c>
      <c r="O23" s="36" t="s">
        <v>5376</v>
      </c>
      <c r="P23" s="36" t="s">
        <v>587</v>
      </c>
      <c r="Q23" s="36" t="s">
        <v>6149</v>
      </c>
      <c r="R23" s="36" t="s">
        <v>587</v>
      </c>
      <c r="S23" s="36" t="s">
        <v>587</v>
      </c>
      <c r="T23" s="36" t="s">
        <v>587</v>
      </c>
      <c r="U23" s="36" t="s">
        <v>6150</v>
      </c>
      <c r="V23" s="6" t="s">
        <v>6154</v>
      </c>
      <c r="W23" s="6" t="s">
        <v>6155</v>
      </c>
      <c r="X23" s="186" t="n">
        <f aca="false">IF($O23="Active",SUMPRODUCT(($AH$5:$AH$113=$AH23)*1),0)</f>
        <v>1</v>
      </c>
      <c r="Y23" s="186" t="n">
        <f aca="false">IF(AND($O23="Active",OR($Q23="—",$Q23="")),1,0)</f>
        <v>0</v>
      </c>
      <c r="Z23" s="186" t="n">
        <f aca="false">IF(AND($O23="Active",$L23="利害關係方",OR($R23="—",$R23="")),1,0)</f>
        <v>0</v>
      </c>
      <c r="AH23" s="35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6" t="s">
        <v>3813</v>
      </c>
      <c r="B24" s="19" t="s">
        <v>6156</v>
      </c>
      <c r="C24" s="215"/>
      <c r="D24" s="217" t="n">
        <v>52</v>
      </c>
      <c r="E24" s="217" t="n">
        <v>56</v>
      </c>
      <c r="F24" s="36" t="s">
        <v>6144</v>
      </c>
      <c r="G24" s="215" t="s">
        <v>6145</v>
      </c>
      <c r="H24" s="36" t="s">
        <v>1184</v>
      </c>
      <c r="I24" s="36" t="s">
        <v>1189</v>
      </c>
      <c r="J24" s="6" t="s">
        <v>6147</v>
      </c>
      <c r="K24" s="215" t="n">
        <v>1</v>
      </c>
      <c r="L24" s="215" t="s">
        <v>5477</v>
      </c>
      <c r="M24" s="6" t="s">
        <v>6148</v>
      </c>
      <c r="N24" s="215" t="s">
        <v>5884</v>
      </c>
      <c r="O24" s="36" t="s">
        <v>5376</v>
      </c>
      <c r="P24" s="36" t="s">
        <v>587</v>
      </c>
      <c r="Q24" s="36" t="s">
        <v>6149</v>
      </c>
      <c r="R24" s="36" t="s">
        <v>587</v>
      </c>
      <c r="S24" s="36" t="s">
        <v>587</v>
      </c>
      <c r="T24" s="36" t="s">
        <v>587</v>
      </c>
      <c r="U24" s="36" t="s">
        <v>6150</v>
      </c>
      <c r="V24" s="6" t="s">
        <v>6157</v>
      </c>
      <c r="W24" s="6" t="s">
        <v>6158</v>
      </c>
      <c r="X24" s="186" t="n">
        <f aca="false">IF($O24="Active",SUMPRODUCT(($AH$5:$AH$113=$AH24)*1),0)</f>
        <v>1</v>
      </c>
      <c r="Y24" s="186" t="n">
        <f aca="false">IF(AND($O24="Active",OR($Q24="—",$Q24="")),1,0)</f>
        <v>0</v>
      </c>
      <c r="Z24" s="186" t="n">
        <f aca="false">IF(AND($O24="Active",$L24="利害關係方",OR($R24="—",$R24="")),1,0)</f>
        <v>0</v>
      </c>
      <c r="AH24" s="35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6" t="s">
        <v>6159</v>
      </c>
      <c r="B25" s="19" t="s">
        <v>6160</v>
      </c>
      <c r="C25" s="217" t="n">
        <v>54</v>
      </c>
      <c r="D25" s="215"/>
      <c r="E25" s="215"/>
      <c r="F25" s="36" t="s">
        <v>6144</v>
      </c>
      <c r="G25" s="215" t="s">
        <v>6145</v>
      </c>
      <c r="H25" s="36" t="s">
        <v>1191</v>
      </c>
      <c r="I25" s="36" t="s">
        <v>1189</v>
      </c>
      <c r="J25" s="6" t="s">
        <v>6147</v>
      </c>
      <c r="K25" s="215" t="n">
        <v>1</v>
      </c>
      <c r="L25" s="215" t="s">
        <v>5477</v>
      </c>
      <c r="M25" s="6" t="s">
        <v>6148</v>
      </c>
      <c r="N25" s="215" t="s">
        <v>5884</v>
      </c>
      <c r="O25" s="36" t="s">
        <v>5376</v>
      </c>
      <c r="P25" s="36" t="s">
        <v>587</v>
      </c>
      <c r="Q25" s="36" t="s">
        <v>6149</v>
      </c>
      <c r="R25" s="36" t="s">
        <v>587</v>
      </c>
      <c r="S25" s="36" t="s">
        <v>587</v>
      </c>
      <c r="T25" s="36" t="s">
        <v>587</v>
      </c>
      <c r="U25" s="36" t="s">
        <v>6150</v>
      </c>
      <c r="V25" s="6" t="s">
        <v>587</v>
      </c>
      <c r="W25" s="6" t="s">
        <v>587</v>
      </c>
      <c r="X25" s="186" t="n">
        <f aca="false">IF($O25="Active",SUMPRODUCT(($AH$5:$AH$113=$AH25)*1),0)</f>
        <v>1</v>
      </c>
      <c r="Y25" s="186" t="n">
        <f aca="false">IF(AND($O25="Active",OR($Q25="—",$Q25="")),1,0)</f>
        <v>0</v>
      </c>
      <c r="Z25" s="186" t="n">
        <f aca="false">IF(AND($O25="Active",$L25="利害關係方",OR($R25="—",$R25="")),1,0)</f>
        <v>0</v>
      </c>
      <c r="AH25" s="35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6" t="s">
        <v>6161</v>
      </c>
      <c r="B26" s="19" t="s">
        <v>6162</v>
      </c>
      <c r="C26" s="215"/>
      <c r="D26" s="217" t="n">
        <v>290</v>
      </c>
      <c r="E26" s="217" t="n">
        <v>350</v>
      </c>
      <c r="F26" s="36" t="s">
        <v>6144</v>
      </c>
      <c r="G26" s="215" t="s">
        <v>6145</v>
      </c>
      <c r="H26" s="36" t="s">
        <v>6163</v>
      </c>
      <c r="I26" s="36" t="s">
        <v>1189</v>
      </c>
      <c r="J26" s="6" t="s">
        <v>6147</v>
      </c>
      <c r="K26" s="215" t="n">
        <v>1</v>
      </c>
      <c r="L26" s="215" t="s">
        <v>5477</v>
      </c>
      <c r="M26" s="6" t="s">
        <v>6148</v>
      </c>
      <c r="N26" s="215" t="s">
        <v>5884</v>
      </c>
      <c r="O26" s="36" t="s">
        <v>5376</v>
      </c>
      <c r="P26" s="36" t="s">
        <v>587</v>
      </c>
      <c r="Q26" s="36" t="s">
        <v>6149</v>
      </c>
      <c r="R26" s="36" t="s">
        <v>587</v>
      </c>
      <c r="S26" s="36" t="s">
        <v>587</v>
      </c>
      <c r="T26" s="36" t="s">
        <v>587</v>
      </c>
      <c r="U26" s="36" t="s">
        <v>6150</v>
      </c>
      <c r="V26" s="6" t="s">
        <v>587</v>
      </c>
      <c r="W26" s="6" t="s">
        <v>587</v>
      </c>
      <c r="X26" s="186" t="n">
        <f aca="false">IF($O26="Active",SUMPRODUCT(($AH$5:$AH$113=$AH26)*1),0)</f>
        <v>1</v>
      </c>
      <c r="Y26" s="186" t="n">
        <f aca="false">IF(AND($O26="Active",OR($Q26="—",$Q26="")),1,0)</f>
        <v>0</v>
      </c>
      <c r="Z26" s="186" t="n">
        <f aca="false">IF(AND($O26="Active",$L26="利害關係方",OR($R26="—",$R26="")),1,0)</f>
        <v>0</v>
      </c>
      <c r="AH26" s="35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6" t="s">
        <v>6164</v>
      </c>
      <c r="B27" s="6" t="s">
        <v>6165</v>
      </c>
      <c r="C27" s="217" t="n">
        <v>20</v>
      </c>
      <c r="D27" s="215"/>
      <c r="E27" s="215"/>
      <c r="F27" s="36" t="s">
        <v>6144</v>
      </c>
      <c r="G27" s="215" t="s">
        <v>6166</v>
      </c>
      <c r="H27" s="36" t="s">
        <v>6167</v>
      </c>
      <c r="I27" s="36" t="s">
        <v>6168</v>
      </c>
      <c r="J27" s="6" t="s">
        <v>6169</v>
      </c>
      <c r="K27" s="215" t="n">
        <v>3</v>
      </c>
      <c r="L27" s="215" t="s">
        <v>5373</v>
      </c>
      <c r="M27" s="6" t="s">
        <v>6170</v>
      </c>
      <c r="N27" s="215" t="s">
        <v>5505</v>
      </c>
      <c r="O27" s="36" t="s">
        <v>5376</v>
      </c>
      <c r="P27" s="36" t="s">
        <v>587</v>
      </c>
      <c r="Q27" s="36" t="s">
        <v>6171</v>
      </c>
      <c r="R27" s="36" t="s">
        <v>587</v>
      </c>
      <c r="S27" s="36" t="s">
        <v>587</v>
      </c>
      <c r="T27" s="36" t="s">
        <v>587</v>
      </c>
      <c r="U27" s="36" t="s">
        <v>6172</v>
      </c>
      <c r="V27" s="6" t="s">
        <v>587</v>
      </c>
      <c r="W27" s="19" t="s">
        <v>6173</v>
      </c>
      <c r="X27" s="186" t="n">
        <f aca="false">IF($O27="Active",SUMPRODUCT(($AH$5:$AH$113=$AH27)*1),0)</f>
        <v>1</v>
      </c>
      <c r="Y27" s="186" t="n">
        <f aca="false">IF(AND($O27="Active",OR($Q27="—",$Q27="")),1,0)</f>
        <v>0</v>
      </c>
      <c r="Z27" s="186" t="n">
        <f aca="false">IF(AND($O27="Active",$L27="利害關係方",OR($R27="—",$R27="")),1,0)</f>
        <v>1</v>
      </c>
      <c r="AH27" s="35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6" t="s">
        <v>6174</v>
      </c>
      <c r="B28" s="6" t="s">
        <v>6175</v>
      </c>
      <c r="C28" s="217" t="n">
        <v>250634</v>
      </c>
      <c r="D28" s="215"/>
      <c r="E28" s="215"/>
      <c r="F28" s="36" t="s">
        <v>6176</v>
      </c>
      <c r="G28" s="36" t="s">
        <v>6177</v>
      </c>
      <c r="H28" s="36" t="s">
        <v>147</v>
      </c>
      <c r="I28" s="36" t="s">
        <v>6178</v>
      </c>
      <c r="J28" s="6" t="s">
        <v>6179</v>
      </c>
      <c r="K28" s="215" t="n">
        <v>2</v>
      </c>
      <c r="L28" s="215" t="s">
        <v>5373</v>
      </c>
      <c r="M28" s="6" t="s">
        <v>6180</v>
      </c>
      <c r="N28" s="215" t="s">
        <v>6181</v>
      </c>
      <c r="O28" s="36" t="s">
        <v>5376</v>
      </c>
      <c r="P28" s="36" t="s">
        <v>587</v>
      </c>
      <c r="Q28" s="36" t="s">
        <v>6182</v>
      </c>
      <c r="R28" s="36" t="s">
        <v>587</v>
      </c>
      <c r="S28" s="36" t="s">
        <v>587</v>
      </c>
      <c r="T28" s="36" t="s">
        <v>587</v>
      </c>
      <c r="U28" s="36" t="s">
        <v>6183</v>
      </c>
      <c r="V28" s="6" t="s">
        <v>587</v>
      </c>
      <c r="W28" s="19" t="s">
        <v>6184</v>
      </c>
      <c r="X28" s="186" t="n">
        <f aca="false">IF($O28="Active",SUMPRODUCT(($AH$5:$AH$113=$AH28)*1),0)</f>
        <v>1</v>
      </c>
      <c r="Y28" s="186" t="n">
        <f aca="false">IF(AND($O28="Active",OR($Q28="—",$Q28="")),1,0)</f>
        <v>0</v>
      </c>
      <c r="Z28" s="186" t="n">
        <f aca="false">IF(AND($O28="Active",$L28="利害關係方",OR($R28="—",$R28="")),1,0)</f>
        <v>1</v>
      </c>
      <c r="AH28" s="35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6" t="s">
        <v>4114</v>
      </c>
      <c r="B29" s="6" t="s">
        <v>6185</v>
      </c>
      <c r="C29" s="217" t="n">
        <v>240318</v>
      </c>
      <c r="D29" s="215"/>
      <c r="E29" s="215"/>
      <c r="F29" s="36" t="s">
        <v>6176</v>
      </c>
      <c r="G29" s="36" t="s">
        <v>6177</v>
      </c>
      <c r="H29" s="36" t="s">
        <v>146</v>
      </c>
      <c r="I29" s="36" t="s">
        <v>6178</v>
      </c>
      <c r="J29" s="6" t="s">
        <v>6179</v>
      </c>
      <c r="K29" s="215" t="n">
        <v>2</v>
      </c>
      <c r="L29" s="215" t="s">
        <v>5373</v>
      </c>
      <c r="M29" s="6" t="s">
        <v>6180</v>
      </c>
      <c r="N29" s="215" t="s">
        <v>6181</v>
      </c>
      <c r="O29" s="36" t="s">
        <v>5376</v>
      </c>
      <c r="P29" s="36" t="s">
        <v>587</v>
      </c>
      <c r="Q29" s="36" t="s">
        <v>6182</v>
      </c>
      <c r="R29" s="36" t="s">
        <v>587</v>
      </c>
      <c r="S29" s="36" t="s">
        <v>587</v>
      </c>
      <c r="T29" s="36" t="s">
        <v>587</v>
      </c>
      <c r="U29" s="36" t="s">
        <v>6183</v>
      </c>
      <c r="V29" s="6" t="s">
        <v>6186</v>
      </c>
      <c r="W29" s="19" t="s">
        <v>6187</v>
      </c>
      <c r="X29" s="186" t="n">
        <f aca="false">IF($O29="Active",SUMPRODUCT(($AH$5:$AH$113=$AH29)*1),0)</f>
        <v>1</v>
      </c>
      <c r="Y29" s="186" t="n">
        <f aca="false">IF(AND($O29="Active",OR($Q29="—",$Q29="")),1,0)</f>
        <v>0</v>
      </c>
      <c r="Z29" s="186" t="n">
        <f aca="false">IF(AND($O29="Active",$L29="利害關係方",OR($R29="—",$R29="")),1,0)</f>
        <v>1</v>
      </c>
      <c r="AH29" s="35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6" t="s">
        <v>4120</v>
      </c>
      <c r="B30" s="6" t="s">
        <v>6188</v>
      </c>
      <c r="C30" s="217" t="n">
        <v>8064</v>
      </c>
      <c r="D30" s="215"/>
      <c r="E30" s="215"/>
      <c r="F30" s="36" t="s">
        <v>6189</v>
      </c>
      <c r="G30" s="36" t="s">
        <v>6190</v>
      </c>
      <c r="H30" s="36" t="s">
        <v>147</v>
      </c>
      <c r="I30" s="36" t="s">
        <v>6178</v>
      </c>
      <c r="J30" s="6" t="s">
        <v>6179</v>
      </c>
      <c r="K30" s="215" t="n">
        <v>2</v>
      </c>
      <c r="L30" s="215" t="s">
        <v>5373</v>
      </c>
      <c r="M30" s="6" t="s">
        <v>6180</v>
      </c>
      <c r="N30" s="215" t="s">
        <v>6181</v>
      </c>
      <c r="O30" s="36" t="s">
        <v>5376</v>
      </c>
      <c r="P30" s="36" t="s">
        <v>587</v>
      </c>
      <c r="Q30" s="36" t="s">
        <v>6182</v>
      </c>
      <c r="R30" s="36" t="s">
        <v>587</v>
      </c>
      <c r="S30" s="36" t="s">
        <v>587</v>
      </c>
      <c r="T30" s="36" t="s">
        <v>587</v>
      </c>
      <c r="U30" s="36" t="s">
        <v>6183</v>
      </c>
      <c r="V30" s="6" t="s">
        <v>6191</v>
      </c>
      <c r="W30" s="6" t="s">
        <v>587</v>
      </c>
      <c r="X30" s="186" t="n">
        <f aca="false">IF($O30="Active",SUMPRODUCT(($AH$5:$AH$113=$AH30)*1),0)</f>
        <v>1</v>
      </c>
      <c r="Y30" s="186" t="n">
        <f aca="false">IF(AND($O30="Active",OR($Q30="—",$Q30="")),1,0)</f>
        <v>0</v>
      </c>
      <c r="Z30" s="186" t="n">
        <f aca="false">IF(AND($O30="Active",$L30="利害關係方",OR($R30="—",$R30="")),1,0)</f>
        <v>1</v>
      </c>
      <c r="AH30" s="35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6" t="s">
        <v>4117</v>
      </c>
      <c r="B31" s="6" t="s">
        <v>6192</v>
      </c>
      <c r="C31" s="217" t="n">
        <v>652750</v>
      </c>
      <c r="D31" s="215"/>
      <c r="E31" s="215"/>
      <c r="F31" s="36" t="s">
        <v>6176</v>
      </c>
      <c r="G31" s="36" t="s">
        <v>6193</v>
      </c>
      <c r="H31" s="36" t="s">
        <v>148</v>
      </c>
      <c r="I31" s="36" t="s">
        <v>6194</v>
      </c>
      <c r="J31" s="6" t="s">
        <v>6195</v>
      </c>
      <c r="K31" s="215" t="n">
        <v>1</v>
      </c>
      <c r="L31" s="215" t="s">
        <v>5373</v>
      </c>
      <c r="M31" s="6" t="s">
        <v>6196</v>
      </c>
      <c r="N31" s="215" t="s">
        <v>5375</v>
      </c>
      <c r="O31" s="36" t="s">
        <v>5376</v>
      </c>
      <c r="P31" s="36" t="s">
        <v>587</v>
      </c>
      <c r="Q31" s="36" t="s">
        <v>6197</v>
      </c>
      <c r="R31" s="36" t="s">
        <v>587</v>
      </c>
      <c r="S31" s="36" t="s">
        <v>5175</v>
      </c>
      <c r="T31" s="36" t="s">
        <v>587</v>
      </c>
      <c r="U31" s="36" t="s">
        <v>2918</v>
      </c>
      <c r="V31" s="6" t="s">
        <v>6198</v>
      </c>
      <c r="W31" s="19" t="s">
        <v>6199</v>
      </c>
      <c r="X31" s="186" t="n">
        <f aca="false">IF($O31="Active",SUMPRODUCT(($AH$5:$AH$113=$AH31)*1),0)</f>
        <v>1</v>
      </c>
      <c r="Y31" s="186" t="n">
        <f aca="false">IF(AND($O31="Active",OR($Q31="—",$Q31="")),1,0)</f>
        <v>0</v>
      </c>
      <c r="Z31" s="186" t="n">
        <f aca="false">IF(AND($O31="Active",$L31="利害關係方",OR($R31="—",$R31="")),1,0)</f>
        <v>1</v>
      </c>
      <c r="AH31" s="35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6" t="s">
        <v>4111</v>
      </c>
      <c r="B32" s="6" t="s">
        <v>6200</v>
      </c>
      <c r="C32" s="217" t="n">
        <v>253506</v>
      </c>
      <c r="D32" s="215"/>
      <c r="E32" s="215"/>
      <c r="F32" s="36" t="s">
        <v>6176</v>
      </c>
      <c r="G32" s="36" t="s">
        <v>6177</v>
      </c>
      <c r="H32" s="36" t="s">
        <v>147</v>
      </c>
      <c r="I32" s="36" t="s">
        <v>6194</v>
      </c>
      <c r="J32" s="6" t="s">
        <v>6195</v>
      </c>
      <c r="K32" s="215" t="n">
        <v>1</v>
      </c>
      <c r="L32" s="215" t="s">
        <v>5373</v>
      </c>
      <c r="M32" s="6" t="s">
        <v>6196</v>
      </c>
      <c r="N32" s="215" t="s">
        <v>5375</v>
      </c>
      <c r="O32" s="36" t="s">
        <v>5376</v>
      </c>
      <c r="P32" s="36" t="s">
        <v>587</v>
      </c>
      <c r="Q32" s="36" t="s">
        <v>6197</v>
      </c>
      <c r="R32" s="36" t="s">
        <v>587</v>
      </c>
      <c r="S32" s="36" t="s">
        <v>5175</v>
      </c>
      <c r="T32" s="36" t="s">
        <v>587</v>
      </c>
      <c r="U32" s="36" t="s">
        <v>2918</v>
      </c>
      <c r="V32" s="6" t="s">
        <v>6201</v>
      </c>
      <c r="W32" s="19" t="s">
        <v>6202</v>
      </c>
      <c r="X32" s="186" t="n">
        <f aca="false">IF($O32="Active",SUMPRODUCT(($AH$5:$AH$113=$AH32)*1),0)</f>
        <v>1</v>
      </c>
      <c r="Y32" s="186" t="n">
        <f aca="false">IF(AND($O32="Active",OR($Q32="—",$Q32="")),1,0)</f>
        <v>0</v>
      </c>
      <c r="Z32" s="186" t="n">
        <f aca="false">IF(AND($O32="Active",$L32="利害關係方",OR($R32="—",$R32="")),1,0)</f>
        <v>1</v>
      </c>
      <c r="AH32" s="35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6" t="s">
        <v>4077</v>
      </c>
      <c r="B33" s="6" t="s">
        <v>6203</v>
      </c>
      <c r="C33" s="217" t="n">
        <v>800</v>
      </c>
      <c r="D33" s="215"/>
      <c r="E33" s="215"/>
      <c r="F33" s="36" t="s">
        <v>257</v>
      </c>
      <c r="G33" s="215" t="s">
        <v>6204</v>
      </c>
      <c r="H33" s="36" t="s">
        <v>6205</v>
      </c>
      <c r="I33" s="36" t="s">
        <v>6206</v>
      </c>
      <c r="J33" s="6" t="s">
        <v>6207</v>
      </c>
      <c r="K33" s="215" t="n">
        <v>1</v>
      </c>
      <c r="L33" s="215" t="s">
        <v>5477</v>
      </c>
      <c r="M33" s="6" t="s">
        <v>6208</v>
      </c>
      <c r="N33" s="215" t="s">
        <v>5884</v>
      </c>
      <c r="O33" s="36" t="s">
        <v>5376</v>
      </c>
      <c r="P33" s="36" t="s">
        <v>587</v>
      </c>
      <c r="Q33" s="36" t="s">
        <v>6209</v>
      </c>
      <c r="R33" s="36" t="s">
        <v>587</v>
      </c>
      <c r="S33" s="36" t="s">
        <v>587</v>
      </c>
      <c r="T33" s="36" t="s">
        <v>587</v>
      </c>
      <c r="U33" s="36" t="s">
        <v>6210</v>
      </c>
      <c r="V33" s="6" t="s">
        <v>6211</v>
      </c>
      <c r="W33" s="6" t="s">
        <v>587</v>
      </c>
      <c r="X33" s="186" t="n">
        <f aca="false">IF($O33="Active",SUMPRODUCT(($AH$5:$AH$113=$AH33)*1),0)</f>
        <v>1</v>
      </c>
      <c r="Y33" s="186" t="n">
        <f aca="false">IF(AND($O33="Active",OR($Q33="—",$Q33="")),1,0)</f>
        <v>0</v>
      </c>
      <c r="Z33" s="186" t="n">
        <f aca="false">IF(AND($O33="Active",$L33="利害關係方",OR($R33="—",$R33="")),1,0)</f>
        <v>0</v>
      </c>
      <c r="AH33" s="35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6" t="s">
        <v>4081</v>
      </c>
      <c r="B34" s="6" t="s">
        <v>6212</v>
      </c>
      <c r="C34" s="217" t="n">
        <v>3880</v>
      </c>
      <c r="D34" s="215"/>
      <c r="E34" s="215"/>
      <c r="F34" s="36" t="s">
        <v>257</v>
      </c>
      <c r="G34" s="215" t="s">
        <v>6204</v>
      </c>
      <c r="H34" s="36" t="s">
        <v>6205</v>
      </c>
      <c r="I34" s="36" t="s">
        <v>6206</v>
      </c>
      <c r="J34" s="6" t="s">
        <v>6207</v>
      </c>
      <c r="K34" s="215" t="n">
        <v>1</v>
      </c>
      <c r="L34" s="215" t="s">
        <v>5477</v>
      </c>
      <c r="M34" s="6" t="s">
        <v>6208</v>
      </c>
      <c r="N34" s="215" t="s">
        <v>5884</v>
      </c>
      <c r="O34" s="36" t="s">
        <v>5376</v>
      </c>
      <c r="P34" s="36" t="s">
        <v>587</v>
      </c>
      <c r="Q34" s="36" t="s">
        <v>6209</v>
      </c>
      <c r="R34" s="36" t="s">
        <v>587</v>
      </c>
      <c r="S34" s="36" t="s">
        <v>587</v>
      </c>
      <c r="T34" s="36" t="s">
        <v>587</v>
      </c>
      <c r="U34" s="36" t="s">
        <v>6210</v>
      </c>
      <c r="V34" s="6" t="s">
        <v>6213</v>
      </c>
      <c r="W34" s="6" t="s">
        <v>587</v>
      </c>
      <c r="X34" s="186" t="n">
        <f aca="false">IF($O34="Active",SUMPRODUCT(($AH$5:$AH$113=$AH34)*1),0)</f>
        <v>1</v>
      </c>
      <c r="Y34" s="186" t="n">
        <f aca="false">IF(AND($O34="Active",OR($Q34="—",$Q34="")),1,0)</f>
        <v>0</v>
      </c>
      <c r="Z34" s="186" t="n">
        <f aca="false">IF(AND($O34="Active",$L34="利害關係方",OR($R34="—",$R34="")),1,0)</f>
        <v>0</v>
      </c>
      <c r="AH34" s="35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6" t="s">
        <v>4088</v>
      </c>
      <c r="B35" s="6" t="s">
        <v>6214</v>
      </c>
      <c r="C35" s="217" t="n">
        <v>15</v>
      </c>
      <c r="D35" s="215"/>
      <c r="E35" s="215"/>
      <c r="F35" s="36" t="s">
        <v>471</v>
      </c>
      <c r="G35" s="36" t="s">
        <v>6177</v>
      </c>
      <c r="H35" s="36" t="s">
        <v>6205</v>
      </c>
      <c r="I35" s="36" t="s">
        <v>5413</v>
      </c>
      <c r="J35" s="6" t="s">
        <v>6207</v>
      </c>
      <c r="K35" s="215" t="n">
        <v>1</v>
      </c>
      <c r="L35" s="215" t="s">
        <v>5477</v>
      </c>
      <c r="M35" s="6" t="s">
        <v>6208</v>
      </c>
      <c r="N35" s="215" t="s">
        <v>5884</v>
      </c>
      <c r="O35" s="36" t="s">
        <v>5376</v>
      </c>
      <c r="P35" s="36" t="s">
        <v>587</v>
      </c>
      <c r="Q35" s="36" t="s">
        <v>6209</v>
      </c>
      <c r="R35" s="36" t="s">
        <v>587</v>
      </c>
      <c r="S35" s="36" t="s">
        <v>587</v>
      </c>
      <c r="T35" s="36" t="s">
        <v>587</v>
      </c>
      <c r="U35" s="36" t="s">
        <v>6210</v>
      </c>
      <c r="V35" s="6" t="s">
        <v>6215</v>
      </c>
      <c r="W35" s="19" t="s">
        <v>6216</v>
      </c>
      <c r="X35" s="186" t="n">
        <f aca="false">IF($O35="Active",SUMPRODUCT(($AH$5:$AH$113=$AH35)*1),0)</f>
        <v>1</v>
      </c>
      <c r="Y35" s="186" t="n">
        <f aca="false">IF(AND($O35="Active",OR($Q35="—",$Q35="")),1,0)</f>
        <v>0</v>
      </c>
      <c r="Z35" s="186" t="n">
        <f aca="false">IF(AND($O35="Active",$L35="利害關係方",OR($R35="—",$R35="")),1,0)</f>
        <v>0</v>
      </c>
      <c r="AH35" s="35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6" t="s">
        <v>4095</v>
      </c>
      <c r="B36" s="6" t="s">
        <v>6217</v>
      </c>
      <c r="C36" s="217" t="n">
        <v>80</v>
      </c>
      <c r="D36" s="215"/>
      <c r="E36" s="215"/>
      <c r="F36" s="36" t="s">
        <v>471</v>
      </c>
      <c r="G36" s="36" t="s">
        <v>6190</v>
      </c>
      <c r="H36" s="36" t="s">
        <v>6205</v>
      </c>
      <c r="I36" s="36" t="s">
        <v>5413</v>
      </c>
      <c r="J36" s="6" t="s">
        <v>6207</v>
      </c>
      <c r="K36" s="215" t="n">
        <v>1</v>
      </c>
      <c r="L36" s="215" t="s">
        <v>5477</v>
      </c>
      <c r="M36" s="6" t="s">
        <v>6208</v>
      </c>
      <c r="N36" s="215" t="s">
        <v>5884</v>
      </c>
      <c r="O36" s="36" t="s">
        <v>5376</v>
      </c>
      <c r="P36" s="36" t="s">
        <v>587</v>
      </c>
      <c r="Q36" s="36" t="s">
        <v>6209</v>
      </c>
      <c r="R36" s="36" t="s">
        <v>587</v>
      </c>
      <c r="S36" s="36" t="s">
        <v>587</v>
      </c>
      <c r="T36" s="36" t="s">
        <v>587</v>
      </c>
      <c r="U36" s="36" t="s">
        <v>6210</v>
      </c>
      <c r="V36" s="6" t="s">
        <v>6218</v>
      </c>
      <c r="W36" s="19" t="s">
        <v>6219</v>
      </c>
      <c r="X36" s="186" t="n">
        <f aca="false">IF($O36="Active",SUMPRODUCT(($AH$5:$AH$113=$AH36)*1),0)</f>
        <v>1</v>
      </c>
      <c r="Y36" s="186" t="n">
        <f aca="false">IF(AND($O36="Active",OR($Q36="—",$Q36="")),1,0)</f>
        <v>0</v>
      </c>
      <c r="Z36" s="186" t="n">
        <f aca="false">IF(AND($O36="Active",$L36="利害關係方",OR($R36="—",$R36="")),1,0)</f>
        <v>0</v>
      </c>
      <c r="AH36" s="35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6" t="s">
        <v>6220</v>
      </c>
      <c r="B37" s="6" t="s">
        <v>6221</v>
      </c>
      <c r="C37" s="217" t="n">
        <v>1.5</v>
      </c>
      <c r="D37" s="215"/>
      <c r="E37" s="215"/>
      <c r="F37" s="36" t="s">
        <v>341</v>
      </c>
      <c r="G37" s="36" t="s">
        <v>6177</v>
      </c>
      <c r="H37" s="36" t="s">
        <v>6205</v>
      </c>
      <c r="I37" s="36" t="s">
        <v>5413</v>
      </c>
      <c r="J37" s="6" t="s">
        <v>6207</v>
      </c>
      <c r="K37" s="215" t="n">
        <v>1</v>
      </c>
      <c r="L37" s="215" t="s">
        <v>5477</v>
      </c>
      <c r="M37" s="6" t="s">
        <v>6208</v>
      </c>
      <c r="N37" s="215" t="s">
        <v>5884</v>
      </c>
      <c r="O37" s="36" t="s">
        <v>5376</v>
      </c>
      <c r="P37" s="36" t="s">
        <v>587</v>
      </c>
      <c r="Q37" s="36" t="s">
        <v>6209</v>
      </c>
      <c r="R37" s="36" t="s">
        <v>587</v>
      </c>
      <c r="S37" s="36" t="s">
        <v>587</v>
      </c>
      <c r="T37" s="36" t="s">
        <v>587</v>
      </c>
      <c r="U37" s="36" t="s">
        <v>6210</v>
      </c>
      <c r="V37" s="6" t="s">
        <v>587</v>
      </c>
      <c r="W37" s="6" t="s">
        <v>587</v>
      </c>
      <c r="X37" s="186" t="n">
        <f aca="false">IF($O37="Active",SUMPRODUCT(($AH$5:$AH$113=$AH37)*1),0)</f>
        <v>1</v>
      </c>
      <c r="Y37" s="186" t="n">
        <f aca="false">IF(AND($O37="Active",OR($Q37="—",$Q37="")),1,0)</f>
        <v>0</v>
      </c>
      <c r="Z37" s="186" t="n">
        <f aca="false">IF(AND($O37="Active",$L37="利害關係方",OR($R37="—",$R37="")),1,0)</f>
        <v>0</v>
      </c>
      <c r="AH37" s="35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6" t="s">
        <v>6222</v>
      </c>
      <c r="B38" s="6" t="s">
        <v>6223</v>
      </c>
      <c r="C38" s="217" t="n">
        <v>2</v>
      </c>
      <c r="D38" s="215"/>
      <c r="E38" s="215"/>
      <c r="F38" s="36" t="s">
        <v>341</v>
      </c>
      <c r="G38" s="36" t="s">
        <v>6190</v>
      </c>
      <c r="H38" s="36" t="s">
        <v>6205</v>
      </c>
      <c r="I38" s="36" t="s">
        <v>5413</v>
      </c>
      <c r="J38" s="6" t="s">
        <v>6207</v>
      </c>
      <c r="K38" s="215" t="n">
        <v>1</v>
      </c>
      <c r="L38" s="215" t="s">
        <v>5477</v>
      </c>
      <c r="M38" s="6" t="s">
        <v>6208</v>
      </c>
      <c r="N38" s="215" t="s">
        <v>5884</v>
      </c>
      <c r="O38" s="36" t="s">
        <v>5376</v>
      </c>
      <c r="P38" s="36" t="s">
        <v>587</v>
      </c>
      <c r="Q38" s="36" t="s">
        <v>6209</v>
      </c>
      <c r="R38" s="36" t="s">
        <v>587</v>
      </c>
      <c r="S38" s="36" t="s">
        <v>587</v>
      </c>
      <c r="T38" s="36" t="s">
        <v>587</v>
      </c>
      <c r="U38" s="36" t="s">
        <v>6210</v>
      </c>
      <c r="V38" s="6" t="s">
        <v>587</v>
      </c>
      <c r="W38" s="6" t="s">
        <v>587</v>
      </c>
      <c r="X38" s="186" t="n">
        <f aca="false">IF($O38="Active",SUMPRODUCT(($AH$5:$AH$113=$AH38)*1),0)</f>
        <v>1</v>
      </c>
      <c r="Y38" s="186" t="n">
        <f aca="false">IF(AND($O38="Active",OR($Q38="—",$Q38="")),1,0)</f>
        <v>0</v>
      </c>
      <c r="Z38" s="186" t="n">
        <f aca="false">IF(AND($O38="Active",$L38="利害關係方",OR($R38="—",$R38="")),1,0)</f>
        <v>0</v>
      </c>
      <c r="AH38" s="35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6" t="s">
        <v>3773</v>
      </c>
      <c r="B39" s="6" t="s">
        <v>6224</v>
      </c>
      <c r="C39" s="217" t="n">
        <v>3</v>
      </c>
      <c r="D39" s="215"/>
      <c r="E39" s="215"/>
      <c r="F39" s="215" t="s">
        <v>6225</v>
      </c>
      <c r="G39" s="36" t="s">
        <v>6226</v>
      </c>
      <c r="H39" s="36" t="s">
        <v>6205</v>
      </c>
      <c r="I39" s="36" t="s">
        <v>5413</v>
      </c>
      <c r="J39" s="6" t="s">
        <v>6207</v>
      </c>
      <c r="K39" s="215" t="n">
        <v>1</v>
      </c>
      <c r="L39" s="215" t="s">
        <v>5477</v>
      </c>
      <c r="M39" s="6" t="s">
        <v>6208</v>
      </c>
      <c r="N39" s="215" t="s">
        <v>5884</v>
      </c>
      <c r="O39" s="36" t="s">
        <v>5376</v>
      </c>
      <c r="P39" s="36" t="s">
        <v>587</v>
      </c>
      <c r="Q39" s="36" t="s">
        <v>6209</v>
      </c>
      <c r="R39" s="36" t="s">
        <v>587</v>
      </c>
      <c r="S39" s="36" t="s">
        <v>587</v>
      </c>
      <c r="T39" s="36" t="s">
        <v>587</v>
      </c>
      <c r="U39" s="36" t="s">
        <v>6210</v>
      </c>
      <c r="V39" s="6" t="s">
        <v>6227</v>
      </c>
      <c r="W39" s="19" t="s">
        <v>6228</v>
      </c>
      <c r="X39" s="186" t="n">
        <f aca="false">IF($O39="Active",SUMPRODUCT(($AH$5:$AH$113=$AH39)*1),0)</f>
        <v>1</v>
      </c>
      <c r="Y39" s="186" t="n">
        <f aca="false">IF(AND($O39="Active",OR($Q39="—",$Q39="")),1,0)</f>
        <v>0</v>
      </c>
      <c r="Z39" s="186" t="n">
        <f aca="false">IF(AND($O39="Active",$L39="利害關係方",OR($R39="—",$R39="")),1,0)</f>
        <v>0</v>
      </c>
      <c r="AH39" s="35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6" t="s">
        <v>4554</v>
      </c>
      <c r="B40" s="6" t="s">
        <v>6229</v>
      </c>
      <c r="C40" s="215"/>
      <c r="D40" s="217" t="n">
        <v>0.38</v>
      </c>
      <c r="E40" s="217" t="n">
        <v>0.43</v>
      </c>
      <c r="F40" s="36" t="s">
        <v>79</v>
      </c>
      <c r="G40" s="36" t="s">
        <v>6230</v>
      </c>
      <c r="H40" s="36" t="s">
        <v>6231</v>
      </c>
      <c r="I40" s="36" t="s">
        <v>6232</v>
      </c>
      <c r="J40" s="6" t="s">
        <v>6233</v>
      </c>
      <c r="K40" s="215" t="n">
        <v>1</v>
      </c>
      <c r="L40" s="215" t="s">
        <v>5373</v>
      </c>
      <c r="M40" s="6" t="s">
        <v>6234</v>
      </c>
      <c r="N40" s="215" t="s">
        <v>5375</v>
      </c>
      <c r="O40" s="36" t="s">
        <v>5376</v>
      </c>
      <c r="P40" s="36" t="s">
        <v>587</v>
      </c>
      <c r="Q40" s="36" t="s">
        <v>6235</v>
      </c>
      <c r="R40" s="36" t="s">
        <v>587</v>
      </c>
      <c r="S40" s="36" t="s">
        <v>5154</v>
      </c>
      <c r="T40" s="36" t="s">
        <v>587</v>
      </c>
      <c r="U40" s="36" t="s">
        <v>6236</v>
      </c>
      <c r="V40" s="6" t="s">
        <v>587</v>
      </c>
      <c r="W40" s="6" t="s">
        <v>6237</v>
      </c>
      <c r="X40" s="186" t="n">
        <f aca="false">IF($O40="Active",SUMPRODUCT(($AH$5:$AH$113=$AH40)*1),0)</f>
        <v>1</v>
      </c>
      <c r="Y40" s="186" t="n">
        <f aca="false">IF(AND($O40="Active",OR($Q40="—",$Q40="")),1,0)</f>
        <v>0</v>
      </c>
      <c r="Z40" s="186" t="n">
        <f aca="false">IF(AND($O40="Active",$L40="利害關係方",OR($R40="—",$R40="")),1,0)</f>
        <v>1</v>
      </c>
      <c r="AH40" s="35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6" t="s">
        <v>4559</v>
      </c>
      <c r="B41" s="6" t="s">
        <v>6238</v>
      </c>
      <c r="C41" s="217" t="n">
        <v>0.9</v>
      </c>
      <c r="D41" s="215"/>
      <c r="E41" s="215"/>
      <c r="F41" s="36" t="s">
        <v>79</v>
      </c>
      <c r="G41" s="215" t="s">
        <v>6239</v>
      </c>
      <c r="H41" s="36" t="s">
        <v>6231</v>
      </c>
      <c r="I41" s="36" t="s">
        <v>6232</v>
      </c>
      <c r="J41" s="6" t="s">
        <v>6233</v>
      </c>
      <c r="K41" s="215" t="n">
        <v>1</v>
      </c>
      <c r="L41" s="215" t="s">
        <v>5373</v>
      </c>
      <c r="M41" s="6" t="s">
        <v>6234</v>
      </c>
      <c r="N41" s="215" t="s">
        <v>5375</v>
      </c>
      <c r="O41" s="36" t="s">
        <v>5376</v>
      </c>
      <c r="P41" s="36" t="s">
        <v>587</v>
      </c>
      <c r="Q41" s="36" t="s">
        <v>6240</v>
      </c>
      <c r="R41" s="36" t="s">
        <v>587</v>
      </c>
      <c r="S41" s="36" t="s">
        <v>5154</v>
      </c>
      <c r="T41" s="36" t="s">
        <v>587</v>
      </c>
      <c r="U41" s="36" t="s">
        <v>6236</v>
      </c>
      <c r="V41" s="6" t="s">
        <v>6241</v>
      </c>
      <c r="W41" s="19" t="s">
        <v>6242</v>
      </c>
      <c r="X41" s="186" t="n">
        <f aca="false">IF($O41="Active",SUMPRODUCT(($AH$5:$AH$113=$AH41)*1),0)</f>
        <v>1</v>
      </c>
      <c r="Y41" s="186" t="n">
        <f aca="false">IF(AND($O41="Active",OR($Q41="—",$Q41="")),1,0)</f>
        <v>0</v>
      </c>
      <c r="Z41" s="186" t="n">
        <f aca="false">IF(AND($O41="Active",$L41="利害關係方",OR($R41="—",$R41="")),1,0)</f>
        <v>1</v>
      </c>
      <c r="AH41" s="35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6" t="s">
        <v>6243</v>
      </c>
      <c r="B42" s="6" t="s">
        <v>6244</v>
      </c>
      <c r="C42" s="217" t="n">
        <v>2.24</v>
      </c>
      <c r="D42" s="215"/>
      <c r="E42" s="215"/>
      <c r="F42" s="36" t="s">
        <v>83</v>
      </c>
      <c r="G42" s="215" t="s">
        <v>6245</v>
      </c>
      <c r="H42" s="36" t="s">
        <v>6246</v>
      </c>
      <c r="I42" s="36" t="s">
        <v>5502</v>
      </c>
      <c r="J42" s="6" t="s">
        <v>6247</v>
      </c>
      <c r="K42" s="215" t="n">
        <v>1</v>
      </c>
      <c r="L42" s="215" t="s">
        <v>5373</v>
      </c>
      <c r="M42" s="19" t="s">
        <v>6248</v>
      </c>
      <c r="N42" s="215" t="s">
        <v>5884</v>
      </c>
      <c r="O42" s="36" t="s">
        <v>5376</v>
      </c>
      <c r="P42" s="36" t="s">
        <v>587</v>
      </c>
      <c r="Q42" s="36" t="s">
        <v>6249</v>
      </c>
      <c r="R42" s="36" t="s">
        <v>587</v>
      </c>
      <c r="S42" s="36" t="s">
        <v>587</v>
      </c>
      <c r="T42" s="36" t="s">
        <v>587</v>
      </c>
      <c r="U42" s="36" t="s">
        <v>6250</v>
      </c>
      <c r="V42" s="6" t="s">
        <v>587</v>
      </c>
      <c r="W42" s="19" t="s">
        <v>6251</v>
      </c>
      <c r="X42" s="186" t="n">
        <f aca="false">IF($O42="Active",SUMPRODUCT(($AH$5:$AH$113=$AH42)*1),0)</f>
        <v>1</v>
      </c>
      <c r="Y42" s="186" t="n">
        <f aca="false">IF(AND($O42="Active",OR($Q42="—",$Q42="")),1,0)</f>
        <v>0</v>
      </c>
      <c r="Z42" s="186" t="n">
        <f aca="false">IF(AND($O42="Active",$L42="利害關係方",OR($R42="—",$R42="")),1,0)</f>
        <v>1</v>
      </c>
      <c r="AH42" s="35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6" t="s">
        <v>6252</v>
      </c>
      <c r="B43" s="6" t="s">
        <v>6253</v>
      </c>
      <c r="C43" s="217" t="n">
        <v>2.72</v>
      </c>
      <c r="D43" s="215"/>
      <c r="E43" s="215"/>
      <c r="F43" s="36" t="s">
        <v>83</v>
      </c>
      <c r="G43" s="215" t="s">
        <v>6245</v>
      </c>
      <c r="H43" s="36" t="s">
        <v>6246</v>
      </c>
      <c r="I43" s="36" t="s">
        <v>5502</v>
      </c>
      <c r="J43" s="6" t="s">
        <v>6247</v>
      </c>
      <c r="K43" s="215" t="n">
        <v>1</v>
      </c>
      <c r="L43" s="215" t="s">
        <v>5373</v>
      </c>
      <c r="M43" s="19" t="s">
        <v>6248</v>
      </c>
      <c r="N43" s="215" t="s">
        <v>5884</v>
      </c>
      <c r="O43" s="36" t="s">
        <v>5376</v>
      </c>
      <c r="P43" s="36" t="s">
        <v>587</v>
      </c>
      <c r="Q43" s="36" t="s">
        <v>6249</v>
      </c>
      <c r="R43" s="36" t="s">
        <v>587</v>
      </c>
      <c r="S43" s="36" t="s">
        <v>587</v>
      </c>
      <c r="T43" s="36" t="s">
        <v>587</v>
      </c>
      <c r="U43" s="36" t="s">
        <v>6250</v>
      </c>
      <c r="V43" s="6" t="s">
        <v>587</v>
      </c>
      <c r="W43" s="6" t="s">
        <v>587</v>
      </c>
      <c r="X43" s="186" t="n">
        <f aca="false">IF($O43="Active",SUMPRODUCT(($AH$5:$AH$113=$AH43)*1),0)</f>
        <v>1</v>
      </c>
      <c r="Y43" s="186" t="n">
        <f aca="false">IF(AND($O43="Active",OR($Q43="—",$Q43="")),1,0)</f>
        <v>0</v>
      </c>
      <c r="Z43" s="186" t="n">
        <f aca="false">IF(AND($O43="Active",$L43="利害關係方",OR($R43="—",$R43="")),1,0)</f>
        <v>1</v>
      </c>
      <c r="AH43" s="35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6" t="s">
        <v>6254</v>
      </c>
      <c r="B44" s="6" t="s">
        <v>6255</v>
      </c>
      <c r="C44" s="217" t="n">
        <v>2</v>
      </c>
      <c r="D44" s="215"/>
      <c r="E44" s="215"/>
      <c r="F44" s="36" t="s">
        <v>83</v>
      </c>
      <c r="G44" s="215" t="s">
        <v>5458</v>
      </c>
      <c r="H44" s="36" t="s">
        <v>6256</v>
      </c>
      <c r="I44" s="36" t="s">
        <v>5502</v>
      </c>
      <c r="J44" s="6" t="s">
        <v>6247</v>
      </c>
      <c r="K44" s="215" t="n">
        <v>1</v>
      </c>
      <c r="L44" s="215" t="s">
        <v>5373</v>
      </c>
      <c r="M44" s="19" t="s">
        <v>6248</v>
      </c>
      <c r="N44" s="215" t="s">
        <v>5884</v>
      </c>
      <c r="O44" s="36" t="s">
        <v>5376</v>
      </c>
      <c r="P44" s="36" t="s">
        <v>587</v>
      </c>
      <c r="Q44" s="36" t="s">
        <v>6249</v>
      </c>
      <c r="R44" s="36" t="s">
        <v>587</v>
      </c>
      <c r="S44" s="36" t="s">
        <v>587</v>
      </c>
      <c r="T44" s="36" t="s">
        <v>587</v>
      </c>
      <c r="U44" s="36" t="s">
        <v>6250</v>
      </c>
      <c r="V44" s="6" t="s">
        <v>587</v>
      </c>
      <c r="W44" s="6" t="s">
        <v>587</v>
      </c>
      <c r="X44" s="186" t="n">
        <f aca="false">IF($O44="Active",SUMPRODUCT(($AH$5:$AH$113=$AH44)*1),0)</f>
        <v>1</v>
      </c>
      <c r="Y44" s="186" t="n">
        <f aca="false">IF(AND($O44="Active",OR($Q44="—",$Q44="")),1,0)</f>
        <v>0</v>
      </c>
      <c r="Z44" s="186" t="n">
        <f aca="false">IF(AND($O44="Active",$L44="利害關係方",OR($R44="—",$R44="")),1,0)</f>
        <v>1</v>
      </c>
      <c r="AH44" s="35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6" t="s">
        <v>3924</v>
      </c>
      <c r="B45" s="6" t="s">
        <v>6257</v>
      </c>
      <c r="C45" s="217" t="n">
        <v>73700</v>
      </c>
      <c r="D45" s="215"/>
      <c r="E45" s="215"/>
      <c r="F45" s="36" t="s">
        <v>6258</v>
      </c>
      <c r="G45" s="36" t="s">
        <v>6259</v>
      </c>
      <c r="H45" s="36" t="s">
        <v>6260</v>
      </c>
      <c r="I45" s="36" t="s">
        <v>6261</v>
      </c>
      <c r="J45" s="6" t="s">
        <v>6262</v>
      </c>
      <c r="K45" s="215" t="n">
        <v>1</v>
      </c>
      <c r="L45" s="215" t="s">
        <v>5373</v>
      </c>
      <c r="M45" s="6" t="s">
        <v>6263</v>
      </c>
      <c r="N45" s="215" t="s">
        <v>5884</v>
      </c>
      <c r="O45" s="36" t="s">
        <v>5376</v>
      </c>
      <c r="P45" s="36" t="s">
        <v>587</v>
      </c>
      <c r="Q45" s="36" t="s">
        <v>6264</v>
      </c>
      <c r="R45" s="36" t="s">
        <v>587</v>
      </c>
      <c r="S45" s="36" t="s">
        <v>587</v>
      </c>
      <c r="T45" s="36" t="s">
        <v>587</v>
      </c>
      <c r="U45" s="36" t="s">
        <v>6172</v>
      </c>
      <c r="V45" s="19" t="s">
        <v>6265</v>
      </c>
      <c r="W45" s="19" t="s">
        <v>6266</v>
      </c>
      <c r="X45" s="186" t="n">
        <f aca="false">IF($O45="Active",SUMPRODUCT(($AH$5:$AH$113=$AH45)*1),0)</f>
        <v>1</v>
      </c>
      <c r="Y45" s="186" t="n">
        <f aca="false">IF(AND($O45="Active",OR($Q45="—",$Q45="")),1,0)</f>
        <v>0</v>
      </c>
      <c r="Z45" s="186" t="n">
        <f aca="false">IF(AND($O45="Active",$L45="利害關係方",OR($R45="—",$R45="")),1,0)</f>
        <v>1</v>
      </c>
      <c r="AA45" s="36" t="s">
        <v>6267</v>
      </c>
      <c r="AB45" s="36" t="s">
        <v>6268</v>
      </c>
      <c r="AG45" s="215" t="s">
        <v>6269</v>
      </c>
      <c r="AH45" s="35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6" t="s">
        <v>3995</v>
      </c>
      <c r="B46" s="6" t="s">
        <v>6270</v>
      </c>
      <c r="C46" s="217" t="n">
        <v>14800</v>
      </c>
      <c r="D46" s="215"/>
      <c r="E46" s="215"/>
      <c r="F46" s="36" t="s">
        <v>6258</v>
      </c>
      <c r="G46" s="36" t="s">
        <v>6271</v>
      </c>
      <c r="H46" s="36" t="s">
        <v>6260</v>
      </c>
      <c r="I46" s="36" t="s">
        <v>6261</v>
      </c>
      <c r="J46" s="6" t="s">
        <v>6262</v>
      </c>
      <c r="K46" s="215" t="n">
        <v>1</v>
      </c>
      <c r="L46" s="215" t="s">
        <v>5373</v>
      </c>
      <c r="M46" s="6" t="s">
        <v>6263</v>
      </c>
      <c r="N46" s="215" t="s">
        <v>5884</v>
      </c>
      <c r="O46" s="36" t="s">
        <v>5376</v>
      </c>
      <c r="P46" s="36" t="s">
        <v>587</v>
      </c>
      <c r="Q46" s="36" t="s">
        <v>6264</v>
      </c>
      <c r="R46" s="36" t="s">
        <v>587</v>
      </c>
      <c r="S46" s="36" t="s">
        <v>587</v>
      </c>
      <c r="T46" s="36" t="s">
        <v>587</v>
      </c>
      <c r="U46" s="36" t="s">
        <v>6172</v>
      </c>
      <c r="V46" s="19" t="s">
        <v>6272</v>
      </c>
      <c r="W46" s="19" t="s">
        <v>6273</v>
      </c>
      <c r="X46" s="186" t="n">
        <f aca="false">IF($O46="Active",SUMPRODUCT(($AH$5:$AH$113=$AH46)*1),0)</f>
        <v>1</v>
      </c>
      <c r="Y46" s="186" t="n">
        <f aca="false">IF(AND($O46="Active",OR($Q46="—",$Q46="")),1,0)</f>
        <v>0</v>
      </c>
      <c r="Z46" s="186" t="n">
        <f aca="false">IF(AND($O46="Active",$L46="利害關係方",OR($R46="—",$R46="")),1,0)</f>
        <v>1</v>
      </c>
      <c r="AA46" s="36" t="s">
        <v>6267</v>
      </c>
      <c r="AB46" s="36" t="s">
        <v>6268</v>
      </c>
      <c r="AG46" s="215" t="s">
        <v>6274</v>
      </c>
      <c r="AH46" s="35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6" t="s">
        <v>6275</v>
      </c>
      <c r="B47" s="6" t="s">
        <v>6276</v>
      </c>
      <c r="C47" s="217" t="n">
        <v>608</v>
      </c>
      <c r="D47" s="215"/>
      <c r="E47" s="215"/>
      <c r="F47" s="36" t="s">
        <v>6277</v>
      </c>
      <c r="G47" s="36" t="s">
        <v>6278</v>
      </c>
      <c r="H47" s="36" t="s">
        <v>6260</v>
      </c>
      <c r="I47" s="36" t="s">
        <v>6261</v>
      </c>
      <c r="J47" s="6" t="s">
        <v>6262</v>
      </c>
      <c r="K47" s="215" t="n">
        <v>1</v>
      </c>
      <c r="L47" s="215" t="s">
        <v>5373</v>
      </c>
      <c r="M47" s="6" t="s">
        <v>6263</v>
      </c>
      <c r="N47" s="215" t="s">
        <v>5884</v>
      </c>
      <c r="O47" s="36" t="s">
        <v>5376</v>
      </c>
      <c r="P47" s="36" t="s">
        <v>587</v>
      </c>
      <c r="Q47" s="36" t="s">
        <v>6264</v>
      </c>
      <c r="R47" s="36" t="s">
        <v>587</v>
      </c>
      <c r="S47" s="36" t="s">
        <v>587</v>
      </c>
      <c r="T47" s="36" t="s">
        <v>587</v>
      </c>
      <c r="U47" s="36" t="s">
        <v>6172</v>
      </c>
      <c r="V47" s="6" t="s">
        <v>587</v>
      </c>
      <c r="W47" s="6" t="s">
        <v>587</v>
      </c>
      <c r="X47" s="186" t="n">
        <f aca="false">IF($O47="Active",SUMPRODUCT(($AH$5:$AH$113=$AH47)*1),0)</f>
        <v>1</v>
      </c>
      <c r="Y47" s="186" t="n">
        <f aca="false">IF(AND($O47="Active",OR($Q47="—",$Q47="")),1,0)</f>
        <v>0</v>
      </c>
      <c r="Z47" s="186" t="n">
        <f aca="false">IF(AND($O47="Active",$L47="利害關係方",OR($R47="—",$R47="")),1,0)</f>
        <v>1</v>
      </c>
      <c r="AH47" s="35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6" t="s">
        <v>6279</v>
      </c>
      <c r="B48" s="6" t="s">
        <v>6280</v>
      </c>
      <c r="C48" s="217" t="n">
        <v>0.563</v>
      </c>
      <c r="D48" s="215"/>
      <c r="E48" s="215"/>
      <c r="F48" s="36" t="s">
        <v>79</v>
      </c>
      <c r="G48" s="36" t="s">
        <v>6281</v>
      </c>
      <c r="H48" s="36" t="s">
        <v>6260</v>
      </c>
      <c r="I48" s="36" t="s">
        <v>6261</v>
      </c>
      <c r="J48" s="6" t="s">
        <v>6262</v>
      </c>
      <c r="K48" s="215" t="n">
        <v>1</v>
      </c>
      <c r="L48" s="215" t="s">
        <v>5373</v>
      </c>
      <c r="M48" s="6" t="s">
        <v>6263</v>
      </c>
      <c r="N48" s="215" t="s">
        <v>5884</v>
      </c>
      <c r="O48" s="36" t="s">
        <v>5376</v>
      </c>
      <c r="P48" s="36" t="s">
        <v>587</v>
      </c>
      <c r="Q48" s="36" t="s">
        <v>6264</v>
      </c>
      <c r="R48" s="36" t="s">
        <v>587</v>
      </c>
      <c r="S48" s="36" t="s">
        <v>587</v>
      </c>
      <c r="T48" s="36" t="s">
        <v>587</v>
      </c>
      <c r="U48" s="36" t="s">
        <v>6172</v>
      </c>
      <c r="V48" s="19" t="s">
        <v>6282</v>
      </c>
      <c r="W48" s="19" t="s">
        <v>6283</v>
      </c>
      <c r="X48" s="186" t="n">
        <f aca="false">IF($O48="Active",SUMPRODUCT(($AH$5:$AH$113=$AH48)*1),0)</f>
        <v>1</v>
      </c>
      <c r="Y48" s="186" t="n">
        <f aca="false">IF(AND($O48="Active",OR($Q48="—",$Q48="")),1,0)</f>
        <v>0</v>
      </c>
      <c r="Z48" s="186" t="n">
        <f aca="false">IF(AND($O48="Active",$L48="利害關係方",OR($R48="—",$R48="")),1,0)</f>
        <v>1</v>
      </c>
      <c r="AH48" s="35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6" t="s">
        <v>6284</v>
      </c>
      <c r="B49" s="6" t="s">
        <v>6285</v>
      </c>
      <c r="C49" s="217" t="n">
        <v>168</v>
      </c>
      <c r="D49" s="215"/>
      <c r="E49" s="215"/>
      <c r="F49" s="36" t="s">
        <v>6277</v>
      </c>
      <c r="G49" s="36" t="s">
        <v>6278</v>
      </c>
      <c r="H49" s="36" t="s">
        <v>6260</v>
      </c>
      <c r="I49" s="36" t="s">
        <v>6261</v>
      </c>
      <c r="J49" s="6" t="s">
        <v>6262</v>
      </c>
      <c r="K49" s="215" t="n">
        <v>1</v>
      </c>
      <c r="L49" s="215" t="s">
        <v>5373</v>
      </c>
      <c r="M49" s="6" t="s">
        <v>6263</v>
      </c>
      <c r="N49" s="215" t="s">
        <v>5884</v>
      </c>
      <c r="O49" s="36" t="s">
        <v>5376</v>
      </c>
      <c r="P49" s="36" t="s">
        <v>587</v>
      </c>
      <c r="Q49" s="36" t="s">
        <v>6264</v>
      </c>
      <c r="R49" s="36" t="s">
        <v>587</v>
      </c>
      <c r="S49" s="36" t="s">
        <v>587</v>
      </c>
      <c r="T49" s="36" t="s">
        <v>587</v>
      </c>
      <c r="U49" s="36" t="s">
        <v>6172</v>
      </c>
      <c r="V49" s="6" t="s">
        <v>587</v>
      </c>
      <c r="W49" s="6" t="s">
        <v>587</v>
      </c>
      <c r="X49" s="186" t="n">
        <f aca="false">IF($O49="Active",SUMPRODUCT(($AH$5:$AH$113=$AH49)*1),0)</f>
        <v>1</v>
      </c>
      <c r="Y49" s="186" t="n">
        <f aca="false">IF(AND($O49="Active",OR($Q49="—",$Q49="")),1,0)</f>
        <v>0</v>
      </c>
      <c r="Z49" s="186" t="n">
        <f aca="false">IF(AND($O49="Active",$L49="利害關係方",OR($R49="—",$R49="")),1,0)</f>
        <v>1</v>
      </c>
      <c r="AH49" s="35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6" t="s">
        <v>6286</v>
      </c>
      <c r="B50" s="6" t="s">
        <v>6287</v>
      </c>
      <c r="C50" s="215"/>
      <c r="D50" s="217" t="n">
        <v>20</v>
      </c>
      <c r="E50" s="217" t="n">
        <v>22</v>
      </c>
      <c r="F50" s="36" t="s">
        <v>338</v>
      </c>
      <c r="G50" s="36" t="s">
        <v>6278</v>
      </c>
      <c r="H50" s="36" t="s">
        <v>6260</v>
      </c>
      <c r="I50" s="36" t="s">
        <v>6261</v>
      </c>
      <c r="J50" s="6" t="s">
        <v>6262</v>
      </c>
      <c r="K50" s="215" t="n">
        <v>1</v>
      </c>
      <c r="L50" s="215" t="s">
        <v>5373</v>
      </c>
      <c r="M50" s="6" t="s">
        <v>6263</v>
      </c>
      <c r="N50" s="215" t="s">
        <v>5884</v>
      </c>
      <c r="O50" s="36" t="s">
        <v>5376</v>
      </c>
      <c r="P50" s="36" t="s">
        <v>587</v>
      </c>
      <c r="Q50" s="36" t="s">
        <v>6264</v>
      </c>
      <c r="R50" s="36" t="s">
        <v>587</v>
      </c>
      <c r="S50" s="36" t="s">
        <v>587</v>
      </c>
      <c r="T50" s="36" t="s">
        <v>587</v>
      </c>
      <c r="U50" s="36" t="s">
        <v>6172</v>
      </c>
      <c r="V50" s="19" t="s">
        <v>6288</v>
      </c>
      <c r="W50" s="19" t="s">
        <v>6289</v>
      </c>
      <c r="X50" s="186" t="n">
        <f aca="false">IF($O50="Active",SUMPRODUCT(($AH$5:$AH$113=$AH50)*1),0)</f>
        <v>1</v>
      </c>
      <c r="Y50" s="186" t="n">
        <f aca="false">IF(AND($O50="Active",OR($Q50="—",$Q50="")),1,0)</f>
        <v>0</v>
      </c>
      <c r="Z50" s="186" t="n">
        <f aca="false">IF(AND($O50="Active",$L50="利害關係方",OR($R50="—",$R50="")),1,0)</f>
        <v>1</v>
      </c>
      <c r="AH50" s="35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6" t="s">
        <v>6290</v>
      </c>
      <c r="B51" s="6" t="s">
        <v>6291</v>
      </c>
      <c r="C51" s="217" t="n">
        <v>4989</v>
      </c>
      <c r="D51" s="215"/>
      <c r="E51" s="215"/>
      <c r="F51" s="36" t="s">
        <v>257</v>
      </c>
      <c r="G51" s="36" t="s">
        <v>6278</v>
      </c>
      <c r="H51" s="36" t="s">
        <v>6260</v>
      </c>
      <c r="I51" s="36" t="s">
        <v>6261</v>
      </c>
      <c r="J51" s="6" t="s">
        <v>6262</v>
      </c>
      <c r="K51" s="215" t="n">
        <v>1</v>
      </c>
      <c r="L51" s="215" t="s">
        <v>5373</v>
      </c>
      <c r="M51" s="6" t="s">
        <v>6263</v>
      </c>
      <c r="N51" s="215" t="s">
        <v>5884</v>
      </c>
      <c r="O51" s="36" t="s">
        <v>5376</v>
      </c>
      <c r="P51" s="36" t="s">
        <v>587</v>
      </c>
      <c r="Q51" s="36" t="s">
        <v>6264</v>
      </c>
      <c r="R51" s="36" t="s">
        <v>587</v>
      </c>
      <c r="S51" s="36" t="s">
        <v>587</v>
      </c>
      <c r="T51" s="36" t="s">
        <v>587</v>
      </c>
      <c r="U51" s="36" t="s">
        <v>6172</v>
      </c>
      <c r="V51" s="6" t="s">
        <v>587</v>
      </c>
      <c r="W51" s="6" t="s">
        <v>587</v>
      </c>
      <c r="X51" s="186" t="n">
        <f aca="false">IF($O51="Active",SUMPRODUCT(($AH$5:$AH$113=$AH51)*1),0)</f>
        <v>1</v>
      </c>
      <c r="Y51" s="186" t="n">
        <f aca="false">IF(AND($O51="Active",OR($Q51="—",$Q51="")),1,0)</f>
        <v>0</v>
      </c>
      <c r="Z51" s="186" t="n">
        <f aca="false">IF(AND($O51="Active",$L51="利害關係方",OR($R51="—",$R51="")),1,0)</f>
        <v>1</v>
      </c>
      <c r="AH51" s="35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6" t="s">
        <v>6292</v>
      </c>
      <c r="B52" s="6" t="s">
        <v>6293</v>
      </c>
      <c r="C52" s="217" t="n">
        <v>278</v>
      </c>
      <c r="D52" s="215"/>
      <c r="E52" s="215"/>
      <c r="F52" s="215" t="s">
        <v>6294</v>
      </c>
      <c r="G52" s="36" t="s">
        <v>6295</v>
      </c>
      <c r="H52" s="36" t="s">
        <v>6260</v>
      </c>
      <c r="I52" s="36" t="s">
        <v>6261</v>
      </c>
      <c r="J52" s="6" t="s">
        <v>6262</v>
      </c>
      <c r="K52" s="215" t="n">
        <v>1</v>
      </c>
      <c r="L52" s="215" t="s">
        <v>5373</v>
      </c>
      <c r="M52" s="6" t="s">
        <v>6263</v>
      </c>
      <c r="N52" s="215" t="s">
        <v>5884</v>
      </c>
      <c r="O52" s="36" t="s">
        <v>5376</v>
      </c>
      <c r="P52" s="36" t="s">
        <v>587</v>
      </c>
      <c r="Q52" s="36" t="s">
        <v>6264</v>
      </c>
      <c r="R52" s="36" t="s">
        <v>587</v>
      </c>
      <c r="S52" s="36" t="s">
        <v>587</v>
      </c>
      <c r="T52" s="36" t="s">
        <v>587</v>
      </c>
      <c r="U52" s="36" t="s">
        <v>6172</v>
      </c>
      <c r="V52" s="6" t="s">
        <v>587</v>
      </c>
      <c r="W52" s="19" t="s">
        <v>6296</v>
      </c>
      <c r="X52" s="186" t="n">
        <f aca="false">IF($O52="Active",SUMPRODUCT(($AH$5:$AH$113=$AH52)*1),0)</f>
        <v>1</v>
      </c>
      <c r="Y52" s="186" t="n">
        <f aca="false">IF(AND($O52="Active",OR($Q52="—",$Q52="")),1,0)</f>
        <v>0</v>
      </c>
      <c r="Z52" s="186" t="n">
        <f aca="false">IF(AND($O52="Active",$L52="利害關係方",OR($R52="—",$R52="")),1,0)</f>
        <v>1</v>
      </c>
      <c r="AH52" s="35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6" t="s">
        <v>6297</v>
      </c>
      <c r="B53" s="6" t="s">
        <v>6298</v>
      </c>
      <c r="C53" s="217" t="n">
        <v>226.75</v>
      </c>
      <c r="D53" s="215"/>
      <c r="E53" s="215"/>
      <c r="F53" s="215" t="s">
        <v>6294</v>
      </c>
      <c r="G53" s="36" t="s">
        <v>6295</v>
      </c>
      <c r="H53" s="36" t="s">
        <v>6260</v>
      </c>
      <c r="I53" s="36" t="s">
        <v>6261</v>
      </c>
      <c r="J53" s="6" t="s">
        <v>6262</v>
      </c>
      <c r="K53" s="215" t="n">
        <v>1</v>
      </c>
      <c r="L53" s="215" t="s">
        <v>5373</v>
      </c>
      <c r="M53" s="6" t="s">
        <v>6263</v>
      </c>
      <c r="N53" s="215" t="s">
        <v>5884</v>
      </c>
      <c r="O53" s="36" t="s">
        <v>5376</v>
      </c>
      <c r="P53" s="36" t="s">
        <v>587</v>
      </c>
      <c r="Q53" s="36" t="s">
        <v>6264</v>
      </c>
      <c r="R53" s="36" t="s">
        <v>587</v>
      </c>
      <c r="S53" s="36" t="s">
        <v>587</v>
      </c>
      <c r="T53" s="36" t="s">
        <v>587</v>
      </c>
      <c r="U53" s="36" t="s">
        <v>6172</v>
      </c>
      <c r="V53" s="6" t="s">
        <v>587</v>
      </c>
      <c r="W53" s="6" t="s">
        <v>587</v>
      </c>
      <c r="X53" s="186" t="n">
        <f aca="false">IF($O53="Active",SUMPRODUCT(($AH$5:$AH$113=$AH53)*1),0)</f>
        <v>1</v>
      </c>
      <c r="Y53" s="186" t="n">
        <f aca="false">IF(AND($O53="Active",OR($Q53="—",$Q53="")),1,0)</f>
        <v>0</v>
      </c>
      <c r="Z53" s="186" t="n">
        <f aca="false">IF(AND($O53="Active",$L53="利害關係方",OR($R53="—",$R53="")),1,0)</f>
        <v>1</v>
      </c>
      <c r="AH53" s="35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6" t="s">
        <v>6299</v>
      </c>
      <c r="B54" s="6" t="s">
        <v>6300</v>
      </c>
      <c r="C54" s="217" t="n">
        <v>4</v>
      </c>
      <c r="D54" s="215"/>
      <c r="E54" s="215"/>
      <c r="F54" s="215" t="s">
        <v>6294</v>
      </c>
      <c r="G54" s="36" t="s">
        <v>6301</v>
      </c>
      <c r="H54" s="36" t="s">
        <v>6260</v>
      </c>
      <c r="I54" s="36" t="s">
        <v>6261</v>
      </c>
      <c r="J54" s="6" t="s">
        <v>6262</v>
      </c>
      <c r="K54" s="215" t="n">
        <v>1</v>
      </c>
      <c r="L54" s="215" t="s">
        <v>5373</v>
      </c>
      <c r="M54" s="6" t="s">
        <v>6263</v>
      </c>
      <c r="N54" s="215" t="s">
        <v>5884</v>
      </c>
      <c r="O54" s="36" t="s">
        <v>5376</v>
      </c>
      <c r="P54" s="36" t="s">
        <v>587</v>
      </c>
      <c r="Q54" s="36" t="s">
        <v>6264</v>
      </c>
      <c r="R54" s="36" t="s">
        <v>587</v>
      </c>
      <c r="S54" s="36" t="s">
        <v>587</v>
      </c>
      <c r="T54" s="36" t="s">
        <v>587</v>
      </c>
      <c r="U54" s="36" t="s">
        <v>6172</v>
      </c>
      <c r="V54" s="19" t="s">
        <v>6302</v>
      </c>
      <c r="W54" s="19" t="s">
        <v>6303</v>
      </c>
      <c r="X54" s="186" t="n">
        <f aca="false">IF($O54="Active",SUMPRODUCT(($AH$5:$AH$113=$AH54)*1),0)</f>
        <v>1</v>
      </c>
      <c r="Y54" s="186" t="n">
        <f aca="false">IF(AND($O54="Active",OR($Q54="—",$Q54="")),1,0)</f>
        <v>0</v>
      </c>
      <c r="Z54" s="186" t="n">
        <f aca="false">IF(AND($O54="Active",$L54="利害關係方",OR($R54="—",$R54="")),1,0)</f>
        <v>1</v>
      </c>
      <c r="AH54" s="35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6" t="s">
        <v>3543</v>
      </c>
      <c r="B55" s="6" t="s">
        <v>6304</v>
      </c>
      <c r="C55" s="217" t="n">
        <v>18</v>
      </c>
      <c r="D55" s="215"/>
      <c r="E55" s="215"/>
      <c r="F55" s="215" t="s">
        <v>6294</v>
      </c>
      <c r="G55" s="36" t="s">
        <v>6305</v>
      </c>
      <c r="H55" s="36" t="s">
        <v>6260</v>
      </c>
      <c r="I55" s="36" t="s">
        <v>6261</v>
      </c>
      <c r="J55" s="6" t="s">
        <v>6262</v>
      </c>
      <c r="K55" s="215" t="n">
        <v>1</v>
      </c>
      <c r="L55" s="215" t="s">
        <v>5373</v>
      </c>
      <c r="M55" s="6" t="s">
        <v>6263</v>
      </c>
      <c r="N55" s="215" t="s">
        <v>5884</v>
      </c>
      <c r="O55" s="36" t="s">
        <v>5376</v>
      </c>
      <c r="P55" s="36" t="s">
        <v>587</v>
      </c>
      <c r="Q55" s="36" t="s">
        <v>6264</v>
      </c>
      <c r="R55" s="36" t="s">
        <v>587</v>
      </c>
      <c r="S55" s="36" t="s">
        <v>587</v>
      </c>
      <c r="T55" s="36" t="s">
        <v>587</v>
      </c>
      <c r="U55" s="36" t="s">
        <v>6172</v>
      </c>
      <c r="V55" s="19" t="s">
        <v>6306</v>
      </c>
      <c r="W55" s="19" t="s">
        <v>6307</v>
      </c>
      <c r="X55" s="186" t="n">
        <f aca="false">IF($O55="Active",SUMPRODUCT(($AH$5:$AH$113=$AH55)*1),0)</f>
        <v>1</v>
      </c>
      <c r="Y55" s="186" t="n">
        <f aca="false">IF(AND($O55="Active",OR($Q55="—",$Q55="")),1,0)</f>
        <v>0</v>
      </c>
      <c r="Z55" s="186" t="n">
        <f aca="false">IF(AND($O55="Active",$L55="利害關係方",OR($R55="—",$R55="")),1,0)</f>
        <v>1</v>
      </c>
      <c r="AH55" s="35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6" t="s">
        <v>6308</v>
      </c>
      <c r="B56" s="6" t="s">
        <v>6309</v>
      </c>
      <c r="C56" s="217" t="n">
        <v>558802.8</v>
      </c>
      <c r="D56" s="215"/>
      <c r="E56" s="215"/>
      <c r="F56" s="36" t="s">
        <v>6310</v>
      </c>
      <c r="G56" s="36" t="s">
        <v>6311</v>
      </c>
      <c r="H56" s="36" t="s">
        <v>6312</v>
      </c>
      <c r="I56" s="36" t="s">
        <v>6313</v>
      </c>
      <c r="J56" s="6" t="s">
        <v>6195</v>
      </c>
      <c r="K56" s="215" t="n">
        <v>1</v>
      </c>
      <c r="L56" s="215" t="s">
        <v>5373</v>
      </c>
      <c r="M56" s="6" t="s">
        <v>6314</v>
      </c>
      <c r="N56" s="215" t="s">
        <v>5375</v>
      </c>
      <c r="O56" s="36" t="s">
        <v>5376</v>
      </c>
      <c r="P56" s="36" t="s">
        <v>587</v>
      </c>
      <c r="Q56" s="36" t="s">
        <v>6315</v>
      </c>
      <c r="R56" s="36" t="s">
        <v>4826</v>
      </c>
      <c r="S56" s="36" t="s">
        <v>587</v>
      </c>
      <c r="T56" s="36" t="s">
        <v>587</v>
      </c>
      <c r="U56" s="36" t="s">
        <v>6316</v>
      </c>
      <c r="V56" s="6" t="s">
        <v>587</v>
      </c>
      <c r="W56" s="6" t="s">
        <v>6317</v>
      </c>
      <c r="X56" s="186" t="n">
        <f aca="false">IF($O56="Active",SUMPRODUCT(($AH$5:$AH$113=$AH56)*1),0)</f>
        <v>1</v>
      </c>
      <c r="Y56" s="186" t="n">
        <f aca="false">IF(AND($O56="Active",OR($Q56="—",$Q56="")),1,0)</f>
        <v>0</v>
      </c>
      <c r="Z56" s="186" t="n">
        <f aca="false">IF(AND($O56="Active",$L56="利害關係方",OR($R56="—",$R56="")),1,0)</f>
        <v>0</v>
      </c>
      <c r="AH56" s="35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6" t="s">
        <v>6318</v>
      </c>
      <c r="B57" s="6" t="s">
        <v>6319</v>
      </c>
      <c r="C57" s="217" t="n">
        <v>591368.3</v>
      </c>
      <c r="D57" s="215"/>
      <c r="E57" s="215"/>
      <c r="F57" s="36" t="s">
        <v>6310</v>
      </c>
      <c r="G57" s="36" t="s">
        <v>6320</v>
      </c>
      <c r="H57" s="36" t="s">
        <v>6312</v>
      </c>
      <c r="I57" s="36" t="s">
        <v>6313</v>
      </c>
      <c r="J57" s="6" t="s">
        <v>6195</v>
      </c>
      <c r="K57" s="215" t="n">
        <v>1</v>
      </c>
      <c r="L57" s="215" t="s">
        <v>5373</v>
      </c>
      <c r="M57" s="6" t="s">
        <v>6314</v>
      </c>
      <c r="N57" s="215" t="s">
        <v>5375</v>
      </c>
      <c r="O57" s="36" t="s">
        <v>5376</v>
      </c>
      <c r="P57" s="36" t="s">
        <v>587</v>
      </c>
      <c r="Q57" s="36" t="s">
        <v>6315</v>
      </c>
      <c r="R57" s="36" t="s">
        <v>6321</v>
      </c>
      <c r="S57" s="36" t="s">
        <v>587</v>
      </c>
      <c r="T57" s="36" t="s">
        <v>587</v>
      </c>
      <c r="U57" s="36" t="s">
        <v>6316</v>
      </c>
      <c r="V57" s="6" t="s">
        <v>587</v>
      </c>
      <c r="W57" s="6" t="s">
        <v>6317</v>
      </c>
      <c r="X57" s="186" t="n">
        <f aca="false">IF($O57="Active",SUMPRODUCT(($AH$5:$AH$113=$AH57)*1),0)</f>
        <v>1</v>
      </c>
      <c r="Y57" s="186" t="n">
        <f aca="false">IF(AND($O57="Active",OR($Q57="—",$Q57="")),1,0)</f>
        <v>0</v>
      </c>
      <c r="Z57" s="186" t="n">
        <f aca="false">IF(AND($O57="Active",$L57="利害關係方",OR($R57="—",$R57="")),1,0)</f>
        <v>0</v>
      </c>
      <c r="AH57" s="35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6" t="s">
        <v>6322</v>
      </c>
      <c r="B58" s="6" t="s">
        <v>6323</v>
      </c>
      <c r="C58" s="217" t="n">
        <v>689961</v>
      </c>
      <c r="D58" s="215"/>
      <c r="E58" s="215"/>
      <c r="F58" s="36" t="s">
        <v>6176</v>
      </c>
      <c r="G58" s="36" t="s">
        <v>6324</v>
      </c>
      <c r="H58" s="36" t="s">
        <v>6325</v>
      </c>
      <c r="I58" s="36" t="s">
        <v>6313</v>
      </c>
      <c r="J58" s="6" t="s">
        <v>6195</v>
      </c>
      <c r="K58" s="215" t="n">
        <v>1</v>
      </c>
      <c r="L58" s="215" t="s">
        <v>5373</v>
      </c>
      <c r="M58" s="6" t="s">
        <v>6326</v>
      </c>
      <c r="N58" s="215" t="s">
        <v>5375</v>
      </c>
      <c r="O58" s="36" t="s">
        <v>5376</v>
      </c>
      <c r="P58" s="36" t="s">
        <v>587</v>
      </c>
      <c r="Q58" s="36" t="s">
        <v>6315</v>
      </c>
      <c r="R58" s="36" t="s">
        <v>6327</v>
      </c>
      <c r="S58" s="36" t="s">
        <v>587</v>
      </c>
      <c r="T58" s="36" t="s">
        <v>587</v>
      </c>
      <c r="U58" s="36" t="s">
        <v>6316</v>
      </c>
      <c r="V58" s="6" t="s">
        <v>587</v>
      </c>
      <c r="W58" s="6" t="s">
        <v>6328</v>
      </c>
      <c r="X58" s="186" t="n">
        <f aca="false">IF($O58="Active",SUMPRODUCT(($AH$5:$AH$113=$AH58)*1),0)</f>
        <v>1</v>
      </c>
      <c r="Y58" s="186" t="n">
        <f aca="false">IF(AND($O58="Active",OR($Q58="—",$Q58="")),1,0)</f>
        <v>0</v>
      </c>
      <c r="Z58" s="186" t="n">
        <f aca="false">IF(AND($O58="Active",$L58="利害關係方",OR($R58="—",$R58="")),1,0)</f>
        <v>0</v>
      </c>
      <c r="AH58" s="35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6" t="s">
        <v>6329</v>
      </c>
      <c r="B59" s="6" t="s">
        <v>6330</v>
      </c>
      <c r="C59" s="217" t="n">
        <v>603023</v>
      </c>
      <c r="D59" s="215"/>
      <c r="E59" s="215"/>
      <c r="F59" s="36" t="s">
        <v>6176</v>
      </c>
      <c r="G59" s="36" t="s">
        <v>6331</v>
      </c>
      <c r="H59" s="36" t="s">
        <v>6325</v>
      </c>
      <c r="I59" s="36" t="s">
        <v>6313</v>
      </c>
      <c r="J59" s="6" t="s">
        <v>6195</v>
      </c>
      <c r="K59" s="215" t="n">
        <v>1</v>
      </c>
      <c r="L59" s="215" t="s">
        <v>5373</v>
      </c>
      <c r="M59" s="6" t="s">
        <v>6326</v>
      </c>
      <c r="N59" s="215" t="s">
        <v>5375</v>
      </c>
      <c r="O59" s="36" t="s">
        <v>5376</v>
      </c>
      <c r="P59" s="36" t="s">
        <v>587</v>
      </c>
      <c r="Q59" s="36" t="s">
        <v>6315</v>
      </c>
      <c r="R59" s="36" t="s">
        <v>6332</v>
      </c>
      <c r="S59" s="36" t="s">
        <v>587</v>
      </c>
      <c r="T59" s="36" t="s">
        <v>587</v>
      </c>
      <c r="U59" s="36" t="s">
        <v>6316</v>
      </c>
      <c r="V59" s="6" t="s">
        <v>587</v>
      </c>
      <c r="W59" s="6" t="s">
        <v>6328</v>
      </c>
      <c r="X59" s="186" t="n">
        <f aca="false">IF($O59="Active",SUMPRODUCT(($AH$5:$AH$113=$AH59)*1),0)</f>
        <v>1</v>
      </c>
      <c r="Y59" s="186" t="n">
        <f aca="false">IF(AND($O59="Active",OR($Q59="—",$Q59="")),1,0)</f>
        <v>0</v>
      </c>
      <c r="Z59" s="186" t="n">
        <f aca="false">IF(AND($O59="Active",$L59="利害關係方",OR($R59="—",$R59="")),1,0)</f>
        <v>0</v>
      </c>
      <c r="AH59" s="35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6" t="s">
        <v>4826</v>
      </c>
      <c r="B60" s="6" t="s">
        <v>6333</v>
      </c>
      <c r="C60" s="217" t="n">
        <v>1183326.9</v>
      </c>
      <c r="D60" s="215"/>
      <c r="E60" s="215"/>
      <c r="F60" s="36" t="s">
        <v>6176</v>
      </c>
      <c r="G60" s="36" t="s">
        <v>6311</v>
      </c>
      <c r="H60" s="36" t="s">
        <v>6334</v>
      </c>
      <c r="I60" s="36" t="s">
        <v>6313</v>
      </c>
      <c r="J60" s="6" t="s">
        <v>6195</v>
      </c>
      <c r="K60" s="215" t="n">
        <v>1</v>
      </c>
      <c r="L60" s="215" t="s">
        <v>5373</v>
      </c>
      <c r="M60" s="6" t="s">
        <v>6314</v>
      </c>
      <c r="N60" s="215" t="s">
        <v>5375</v>
      </c>
      <c r="O60" s="36" t="s">
        <v>5376</v>
      </c>
      <c r="P60" s="36" t="s">
        <v>587</v>
      </c>
      <c r="Q60" s="36" t="s">
        <v>6315</v>
      </c>
      <c r="R60" s="36" t="s">
        <v>6308</v>
      </c>
      <c r="S60" s="36" t="s">
        <v>587</v>
      </c>
      <c r="T60" s="36" t="s">
        <v>587</v>
      </c>
      <c r="U60" s="36" t="s">
        <v>6316</v>
      </c>
      <c r="V60" s="6" t="s">
        <v>587</v>
      </c>
      <c r="W60" s="6" t="s">
        <v>6335</v>
      </c>
      <c r="X60" s="186" t="n">
        <f aca="false">IF($O60="Active",SUMPRODUCT(($AH$5:$AH$113=$AH60)*1),0)</f>
        <v>1</v>
      </c>
      <c r="Y60" s="186" t="n">
        <f aca="false">IF(AND($O60="Active",OR($Q60="—",$Q60="")),1,0)</f>
        <v>0</v>
      </c>
      <c r="Z60" s="186" t="n">
        <f aca="false">IF(AND($O60="Active",$L60="利害關係方",OR($R60="—",$R60="")),1,0)</f>
        <v>0</v>
      </c>
      <c r="AH60" s="35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6" t="s">
        <v>6321</v>
      </c>
      <c r="B61" s="6" t="s">
        <v>6336</v>
      </c>
      <c r="C61" s="217" t="n">
        <v>1175890.2</v>
      </c>
      <c r="D61" s="215"/>
      <c r="E61" s="215"/>
      <c r="F61" s="36" t="s">
        <v>6176</v>
      </c>
      <c r="G61" s="36" t="s">
        <v>6320</v>
      </c>
      <c r="H61" s="36" t="s">
        <v>6334</v>
      </c>
      <c r="I61" s="36" t="s">
        <v>6313</v>
      </c>
      <c r="J61" s="6" t="s">
        <v>6195</v>
      </c>
      <c r="K61" s="215" t="n">
        <v>1</v>
      </c>
      <c r="L61" s="215" t="s">
        <v>5373</v>
      </c>
      <c r="M61" s="6" t="s">
        <v>6314</v>
      </c>
      <c r="N61" s="215" t="s">
        <v>5375</v>
      </c>
      <c r="O61" s="36" t="s">
        <v>5376</v>
      </c>
      <c r="P61" s="36" t="s">
        <v>587</v>
      </c>
      <c r="Q61" s="36" t="s">
        <v>6315</v>
      </c>
      <c r="R61" s="36" t="s">
        <v>6318</v>
      </c>
      <c r="S61" s="36" t="s">
        <v>587</v>
      </c>
      <c r="T61" s="36" t="s">
        <v>587</v>
      </c>
      <c r="U61" s="36" t="s">
        <v>6316</v>
      </c>
      <c r="V61" s="6" t="s">
        <v>587</v>
      </c>
      <c r="W61" s="6" t="s">
        <v>6335</v>
      </c>
      <c r="X61" s="186" t="n">
        <f aca="false">IF($O61="Active",SUMPRODUCT(($AH$5:$AH$113=$AH61)*1),0)</f>
        <v>1</v>
      </c>
      <c r="Y61" s="186" t="n">
        <f aca="false">IF(AND($O61="Active",OR($Q61="—",$Q61="")),1,0)</f>
        <v>0</v>
      </c>
      <c r="Z61" s="186" t="n">
        <f aca="false">IF(AND($O61="Active",$L61="利害關係方",OR($R61="—",$R61="")),1,0)</f>
        <v>0</v>
      </c>
      <c r="AH61" s="35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6" t="s">
        <v>6327</v>
      </c>
      <c r="B62" s="6" t="s">
        <v>6337</v>
      </c>
      <c r="C62" s="217" t="n">
        <v>679740</v>
      </c>
      <c r="D62" s="215"/>
      <c r="E62" s="215"/>
      <c r="F62" s="36" t="s">
        <v>6176</v>
      </c>
      <c r="G62" s="36" t="s">
        <v>6324</v>
      </c>
      <c r="H62" s="36" t="s">
        <v>6338</v>
      </c>
      <c r="I62" s="36" t="s">
        <v>6313</v>
      </c>
      <c r="J62" s="6" t="s">
        <v>6195</v>
      </c>
      <c r="K62" s="215" t="n">
        <v>1</v>
      </c>
      <c r="L62" s="215" t="s">
        <v>5373</v>
      </c>
      <c r="M62" s="6" t="s">
        <v>6326</v>
      </c>
      <c r="N62" s="215" t="s">
        <v>5375</v>
      </c>
      <c r="O62" s="36" t="s">
        <v>5376</v>
      </c>
      <c r="P62" s="36" t="s">
        <v>587</v>
      </c>
      <c r="Q62" s="36" t="s">
        <v>6315</v>
      </c>
      <c r="R62" s="36" t="s">
        <v>6322</v>
      </c>
      <c r="S62" s="36" t="s">
        <v>587</v>
      </c>
      <c r="T62" s="36" t="s">
        <v>587</v>
      </c>
      <c r="U62" s="36" t="s">
        <v>6316</v>
      </c>
      <c r="V62" s="6" t="s">
        <v>587</v>
      </c>
      <c r="W62" s="6" t="s">
        <v>6339</v>
      </c>
      <c r="X62" s="186" t="n">
        <f aca="false">IF($O62="Active",SUMPRODUCT(($AH$5:$AH$113=$AH62)*1),0)</f>
        <v>1</v>
      </c>
      <c r="Y62" s="186" t="n">
        <f aca="false">IF(AND($O62="Active",OR($Q62="—",$Q62="")),1,0)</f>
        <v>0</v>
      </c>
      <c r="Z62" s="186" t="n">
        <f aca="false">IF(AND($O62="Active",$L62="利害關係方",OR($R62="—",$R62="")),1,0)</f>
        <v>0</v>
      </c>
      <c r="AH62" s="35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6" t="s">
        <v>6332</v>
      </c>
      <c r="B63" s="6" t="s">
        <v>6340</v>
      </c>
      <c r="C63" s="217" t="n">
        <v>596944</v>
      </c>
      <c r="D63" s="215"/>
      <c r="E63" s="215"/>
      <c r="F63" s="36" t="s">
        <v>6176</v>
      </c>
      <c r="G63" s="36" t="s">
        <v>6331</v>
      </c>
      <c r="H63" s="36" t="s">
        <v>6338</v>
      </c>
      <c r="I63" s="36" t="s">
        <v>6313</v>
      </c>
      <c r="J63" s="6" t="s">
        <v>6195</v>
      </c>
      <c r="K63" s="215" t="n">
        <v>1</v>
      </c>
      <c r="L63" s="215" t="s">
        <v>5373</v>
      </c>
      <c r="M63" s="6" t="s">
        <v>6326</v>
      </c>
      <c r="N63" s="215" t="s">
        <v>5375</v>
      </c>
      <c r="O63" s="36" t="s">
        <v>5376</v>
      </c>
      <c r="P63" s="36" t="s">
        <v>587</v>
      </c>
      <c r="Q63" s="36" t="s">
        <v>6315</v>
      </c>
      <c r="R63" s="36" t="s">
        <v>6329</v>
      </c>
      <c r="S63" s="36" t="s">
        <v>587</v>
      </c>
      <c r="T63" s="36" t="s">
        <v>587</v>
      </c>
      <c r="U63" s="36" t="s">
        <v>6316</v>
      </c>
      <c r="V63" s="6" t="s">
        <v>587</v>
      </c>
      <c r="W63" s="6" t="s">
        <v>6339</v>
      </c>
      <c r="X63" s="186" t="n">
        <f aca="false">IF($O63="Active",SUMPRODUCT(($AH$5:$AH$113=$AH63)*1),0)</f>
        <v>1</v>
      </c>
      <c r="Y63" s="186" t="n">
        <f aca="false">IF(AND($O63="Active",OR($Q63="—",$Q63="")),1,0)</f>
        <v>0</v>
      </c>
      <c r="Z63" s="186" t="n">
        <f aca="false">IF(AND($O63="Active",$L63="利害關係方",OR($R63="—",$R63="")),1,0)</f>
        <v>0</v>
      </c>
      <c r="AH63" s="35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4"/>
    <col collapsed="false" customWidth="true" hidden="false" outlineLevel="0" max="28" min="27" style="0" width="14"/>
    <col collapsed="false" customWidth="true" hidden="false" outlineLevel="0" max="34" min="34" style="1" width="12"/>
    <col collapsed="false" customWidth="true" hidden="false" outlineLevel="0" max="39" min="39" style="0" width="12"/>
  </cols>
  <sheetData>
    <row r="1" customFormat="false" ht="19.5" hidden="false" customHeight="true" outlineLevel="0" collapsed="false">
      <c r="A1" s="213" t="s">
        <v>6341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6342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76" t="s">
        <v>6343</v>
      </c>
      <c r="Y4" s="76" t="s">
        <v>6344</v>
      </c>
      <c r="Z4" s="76" t="s">
        <v>6345</v>
      </c>
      <c r="AA4" s="76" t="s">
        <v>6346</v>
      </c>
      <c r="AB4" s="76" t="s">
        <v>6347</v>
      </c>
      <c r="AC4" s="214" t="s">
        <v>5363</v>
      </c>
      <c r="AD4" s="214" t="s">
        <v>5364</v>
      </c>
      <c r="AE4" s="214" t="s">
        <v>5365</v>
      </c>
      <c r="AM4" s="76" t="s">
        <v>5366</v>
      </c>
    </row>
    <row r="5" customFormat="false" ht="29.25" hidden="false" customHeight="true" outlineLevel="0" collapsed="false">
      <c r="A5" s="36" t="s">
        <v>2401</v>
      </c>
      <c r="B5" s="6" t="s">
        <v>6348</v>
      </c>
      <c r="C5" s="217" t="n">
        <v>42</v>
      </c>
      <c r="D5" s="215"/>
      <c r="E5" s="215"/>
      <c r="F5" s="36" t="s">
        <v>6349</v>
      </c>
      <c r="G5" s="215" t="s">
        <v>6350</v>
      </c>
      <c r="H5" s="36" t="s">
        <v>6351</v>
      </c>
      <c r="I5" s="36" t="s">
        <v>5475</v>
      </c>
      <c r="J5" s="6" t="s">
        <v>6352</v>
      </c>
      <c r="K5" s="215" t="n">
        <v>3</v>
      </c>
      <c r="L5" s="215" t="s">
        <v>5373</v>
      </c>
      <c r="M5" s="6" t="s">
        <v>6353</v>
      </c>
      <c r="N5" s="215" t="s">
        <v>5386</v>
      </c>
      <c r="O5" s="36" t="s">
        <v>5376</v>
      </c>
      <c r="P5" s="36" t="s">
        <v>587</v>
      </c>
      <c r="Q5" s="36" t="s">
        <v>6354</v>
      </c>
      <c r="R5" s="36" t="s">
        <v>587</v>
      </c>
      <c r="S5" s="36" t="s">
        <v>587</v>
      </c>
      <c r="T5" s="36" t="s">
        <v>587</v>
      </c>
      <c r="U5" s="36" t="s">
        <v>6355</v>
      </c>
      <c r="V5" s="6" t="s">
        <v>6356</v>
      </c>
      <c r="W5" s="6" t="s">
        <v>6357</v>
      </c>
      <c r="AC5" s="186" t="n">
        <f aca="false">IF($O5="Active",SUMPRODUCT(($AM$5:$AM$98=$AM5)*1),0)</f>
        <v>1</v>
      </c>
      <c r="AD5" s="186" t="n">
        <f aca="false">IF(AND($O5="Active",OR($Q5="—",$Q5="")),1,0)</f>
        <v>0</v>
      </c>
      <c r="AE5" s="186" t="n">
        <f aca="false">IF(AND($O5="Active",$L5="利害關係方",OR($R5="—",$R5="")),1,0)</f>
        <v>1</v>
      </c>
      <c r="AM5" s="35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6" t="s">
        <v>2408</v>
      </c>
      <c r="B6" s="19" t="s">
        <v>6358</v>
      </c>
      <c r="C6" s="217" t="n">
        <v>3.57</v>
      </c>
      <c r="D6" s="215"/>
      <c r="E6" s="215"/>
      <c r="F6" s="36" t="s">
        <v>819</v>
      </c>
      <c r="G6" s="36" t="s">
        <v>6359</v>
      </c>
      <c r="H6" s="215" t="s">
        <v>6360</v>
      </c>
      <c r="I6" s="36" t="s">
        <v>1189</v>
      </c>
      <c r="J6" s="6" t="s">
        <v>6361</v>
      </c>
      <c r="K6" s="215" t="n">
        <v>2</v>
      </c>
      <c r="L6" s="215" t="s">
        <v>5477</v>
      </c>
      <c r="M6" s="19" t="s">
        <v>6362</v>
      </c>
      <c r="N6" s="215" t="s">
        <v>6363</v>
      </c>
      <c r="O6" s="36" t="s">
        <v>5376</v>
      </c>
      <c r="P6" s="36" t="s">
        <v>587</v>
      </c>
      <c r="Q6" s="36" t="s">
        <v>6364</v>
      </c>
      <c r="R6" s="36" t="s">
        <v>587</v>
      </c>
      <c r="S6" s="36" t="s">
        <v>587</v>
      </c>
      <c r="T6" s="36" t="s">
        <v>587</v>
      </c>
      <c r="U6" s="36" t="s">
        <v>6365</v>
      </c>
      <c r="V6" s="6" t="s">
        <v>6366</v>
      </c>
      <c r="W6" s="19" t="s">
        <v>6367</v>
      </c>
      <c r="AC6" s="186" t="n">
        <f aca="false">IF($O6="Active",SUMPRODUCT(($AM$5:$AM$98=$AM6)*1),0)</f>
        <v>1</v>
      </c>
      <c r="AD6" s="186" t="n">
        <f aca="false">IF(AND($O6="Active",OR($Q6="—",$Q6="")),1,0)</f>
        <v>0</v>
      </c>
      <c r="AE6" s="186" t="n">
        <f aca="false">IF(AND($O6="Active",$L6="利害關係方",OR($R6="—",$R6="")),1,0)</f>
        <v>0</v>
      </c>
      <c r="AM6" s="35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6" t="s">
        <v>6368</v>
      </c>
      <c r="B7" s="6" t="s">
        <v>6369</v>
      </c>
      <c r="C7" s="217" t="n">
        <v>0.1</v>
      </c>
      <c r="D7" s="215"/>
      <c r="E7" s="215"/>
      <c r="F7" s="36" t="s">
        <v>774</v>
      </c>
      <c r="G7" s="36" t="s">
        <v>6370</v>
      </c>
      <c r="H7" s="36" t="s">
        <v>1176</v>
      </c>
      <c r="I7" s="36" t="s">
        <v>1180</v>
      </c>
      <c r="J7" s="6" t="s">
        <v>6371</v>
      </c>
      <c r="K7" s="215" t="n">
        <v>1</v>
      </c>
      <c r="L7" s="215" t="s">
        <v>5373</v>
      </c>
      <c r="M7" s="6" t="s">
        <v>6372</v>
      </c>
      <c r="N7" s="215" t="s">
        <v>5884</v>
      </c>
      <c r="O7" s="36" t="s">
        <v>5376</v>
      </c>
      <c r="P7" s="36" t="s">
        <v>587</v>
      </c>
      <c r="Q7" s="36" t="s">
        <v>6373</v>
      </c>
      <c r="R7" s="36" t="s">
        <v>587</v>
      </c>
      <c r="S7" s="36" t="s">
        <v>587</v>
      </c>
      <c r="T7" s="36" t="s">
        <v>587</v>
      </c>
      <c r="U7" s="36" t="s">
        <v>6374</v>
      </c>
      <c r="V7" s="6" t="s">
        <v>6375</v>
      </c>
      <c r="W7" s="6" t="s">
        <v>587</v>
      </c>
      <c r="AC7" s="186" t="n">
        <f aca="false">IF($O7="Active",SUMPRODUCT(($AM$5:$AM$98=$AM7)*1),0)</f>
        <v>1</v>
      </c>
      <c r="AD7" s="186" t="n">
        <f aca="false">IF(AND($O7="Active",OR($Q7="—",$Q7="")),1,0)</f>
        <v>0</v>
      </c>
      <c r="AE7" s="186" t="n">
        <f aca="false">IF(AND($O7="Active",$L7="利害關係方",OR($R7="—",$R7="")),1,0)</f>
        <v>1</v>
      </c>
      <c r="AM7" s="35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6" t="s">
        <v>6376</v>
      </c>
      <c r="B8" s="6" t="s">
        <v>6377</v>
      </c>
      <c r="C8" s="217" t="n">
        <v>0.01</v>
      </c>
      <c r="D8" s="215"/>
      <c r="E8" s="215"/>
      <c r="F8" s="36" t="s">
        <v>774</v>
      </c>
      <c r="G8" s="36" t="s">
        <v>6370</v>
      </c>
      <c r="H8" s="36" t="s">
        <v>1176</v>
      </c>
      <c r="I8" s="36" t="s">
        <v>1180</v>
      </c>
      <c r="J8" s="6" t="s">
        <v>6371</v>
      </c>
      <c r="K8" s="215" t="n">
        <v>1</v>
      </c>
      <c r="L8" s="215" t="s">
        <v>5373</v>
      </c>
      <c r="M8" s="6" t="s">
        <v>6372</v>
      </c>
      <c r="N8" s="215" t="s">
        <v>5884</v>
      </c>
      <c r="O8" s="36" t="s">
        <v>5376</v>
      </c>
      <c r="P8" s="36" t="s">
        <v>587</v>
      </c>
      <c r="Q8" s="36" t="s">
        <v>6373</v>
      </c>
      <c r="R8" s="36" t="s">
        <v>587</v>
      </c>
      <c r="S8" s="36" t="s">
        <v>587</v>
      </c>
      <c r="T8" s="36" t="s">
        <v>587</v>
      </c>
      <c r="U8" s="36" t="s">
        <v>6374</v>
      </c>
      <c r="V8" s="6" t="s">
        <v>6378</v>
      </c>
      <c r="W8" s="6" t="s">
        <v>587</v>
      </c>
      <c r="AC8" s="186" t="n">
        <f aca="false">IF($O8="Active",SUMPRODUCT(($AM$5:$AM$98=$AM8)*1),0)</f>
        <v>1</v>
      </c>
      <c r="AD8" s="186" t="n">
        <f aca="false">IF(AND($O8="Active",OR($Q8="—",$Q8="")),1,0)</f>
        <v>0</v>
      </c>
      <c r="AE8" s="186" t="n">
        <f aca="false">IF(AND($O8="Active",$L8="利害關係方",OR($R8="—",$R8="")),1,0)</f>
        <v>1</v>
      </c>
      <c r="AM8" s="35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6" t="s">
        <v>6379</v>
      </c>
      <c r="B9" s="6" t="s">
        <v>6380</v>
      </c>
      <c r="C9" s="217" t="n">
        <v>0.5</v>
      </c>
      <c r="D9" s="215"/>
      <c r="E9" s="215"/>
      <c r="F9" s="36" t="s">
        <v>774</v>
      </c>
      <c r="G9" s="36" t="s">
        <v>6370</v>
      </c>
      <c r="H9" s="36" t="s">
        <v>1176</v>
      </c>
      <c r="I9" s="36" t="s">
        <v>1180</v>
      </c>
      <c r="J9" s="6" t="s">
        <v>6371</v>
      </c>
      <c r="K9" s="215" t="n">
        <v>1</v>
      </c>
      <c r="L9" s="215" t="s">
        <v>5373</v>
      </c>
      <c r="M9" s="6" t="s">
        <v>6372</v>
      </c>
      <c r="N9" s="215" t="s">
        <v>5884</v>
      </c>
      <c r="O9" s="36" t="s">
        <v>5376</v>
      </c>
      <c r="P9" s="36" t="s">
        <v>587</v>
      </c>
      <c r="Q9" s="36" t="s">
        <v>6373</v>
      </c>
      <c r="R9" s="36" t="s">
        <v>587</v>
      </c>
      <c r="S9" s="36" t="s">
        <v>587</v>
      </c>
      <c r="T9" s="36" t="s">
        <v>587</v>
      </c>
      <c r="U9" s="36" t="s">
        <v>6374</v>
      </c>
      <c r="V9" s="6" t="s">
        <v>6381</v>
      </c>
      <c r="W9" s="6" t="s">
        <v>587</v>
      </c>
      <c r="AC9" s="186" t="n">
        <f aca="false">IF($O9="Active",SUMPRODUCT(($AM$5:$AM$98=$AM9)*1),0)</f>
        <v>1</v>
      </c>
      <c r="AD9" s="186" t="n">
        <f aca="false">IF(AND($O9="Active",OR($Q9="—",$Q9="")),1,0)</f>
        <v>0</v>
      </c>
      <c r="AE9" s="186" t="n">
        <f aca="false">IF(AND($O9="Active",$L9="利害關係方",OR($R9="—",$R9="")),1,0)</f>
        <v>1</v>
      </c>
      <c r="AM9" s="35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6" t="s">
        <v>6382</v>
      </c>
      <c r="B10" s="6" t="s">
        <v>6383</v>
      </c>
      <c r="C10" s="217" t="n">
        <v>2</v>
      </c>
      <c r="D10" s="215"/>
      <c r="E10" s="215"/>
      <c r="F10" s="36" t="s">
        <v>774</v>
      </c>
      <c r="G10" s="36" t="s">
        <v>6370</v>
      </c>
      <c r="H10" s="36" t="s">
        <v>1182</v>
      </c>
      <c r="I10" s="36" t="s">
        <v>1180</v>
      </c>
      <c r="J10" s="6" t="s">
        <v>6371</v>
      </c>
      <c r="K10" s="215" t="n">
        <v>1</v>
      </c>
      <c r="L10" s="215" t="s">
        <v>5373</v>
      </c>
      <c r="M10" s="6" t="s">
        <v>6372</v>
      </c>
      <c r="N10" s="215" t="s">
        <v>5884</v>
      </c>
      <c r="O10" s="36" t="s">
        <v>5376</v>
      </c>
      <c r="P10" s="36" t="s">
        <v>587</v>
      </c>
      <c r="Q10" s="36" t="s">
        <v>6373</v>
      </c>
      <c r="R10" s="36" t="s">
        <v>587</v>
      </c>
      <c r="S10" s="36" t="s">
        <v>587</v>
      </c>
      <c r="T10" s="36" t="s">
        <v>587</v>
      </c>
      <c r="U10" s="36" t="s">
        <v>6374</v>
      </c>
      <c r="V10" s="6" t="s">
        <v>6384</v>
      </c>
      <c r="W10" s="6" t="s">
        <v>587</v>
      </c>
      <c r="AC10" s="186" t="n">
        <f aca="false">IF($O10="Active",SUMPRODUCT(($AM$5:$AM$98=$AM10)*1),0)</f>
        <v>1</v>
      </c>
      <c r="AD10" s="186" t="n">
        <f aca="false">IF(AND($O10="Active",OR($Q10="—",$Q10="")),1,0)</f>
        <v>0</v>
      </c>
      <c r="AE10" s="186" t="n">
        <f aca="false">IF(AND($O10="Active",$L10="利害關係方",OR($R10="—",$R10="")),1,0)</f>
        <v>1</v>
      </c>
      <c r="AM10" s="35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6" t="s">
        <v>6385</v>
      </c>
      <c r="B11" s="6" t="s">
        <v>6386</v>
      </c>
      <c r="C11" s="217" t="n">
        <v>0.2</v>
      </c>
      <c r="D11" s="215"/>
      <c r="E11" s="215"/>
      <c r="F11" s="36" t="s">
        <v>774</v>
      </c>
      <c r="G11" s="36" t="s">
        <v>6370</v>
      </c>
      <c r="H11" s="36" t="s">
        <v>1182</v>
      </c>
      <c r="I11" s="36" t="s">
        <v>1180</v>
      </c>
      <c r="J11" s="6" t="s">
        <v>6371</v>
      </c>
      <c r="K11" s="215" t="n">
        <v>1</v>
      </c>
      <c r="L11" s="215" t="s">
        <v>5373</v>
      </c>
      <c r="M11" s="6" t="s">
        <v>6372</v>
      </c>
      <c r="N11" s="215" t="s">
        <v>5884</v>
      </c>
      <c r="O11" s="36" t="s">
        <v>5376</v>
      </c>
      <c r="P11" s="36" t="s">
        <v>587</v>
      </c>
      <c r="Q11" s="36" t="s">
        <v>6373</v>
      </c>
      <c r="R11" s="36" t="s">
        <v>587</v>
      </c>
      <c r="S11" s="36" t="s">
        <v>587</v>
      </c>
      <c r="T11" s="36" t="s">
        <v>587</v>
      </c>
      <c r="U11" s="36" t="s">
        <v>6374</v>
      </c>
      <c r="V11" s="6" t="s">
        <v>6387</v>
      </c>
      <c r="W11" s="6" t="s">
        <v>587</v>
      </c>
      <c r="AC11" s="186" t="n">
        <f aca="false">IF($O11="Active",SUMPRODUCT(($AM$5:$AM$98=$AM11)*1),0)</f>
        <v>1</v>
      </c>
      <c r="AD11" s="186" t="n">
        <f aca="false">IF(AND($O11="Active",OR($Q11="—",$Q11="")),1,0)</f>
        <v>0</v>
      </c>
      <c r="AE11" s="186" t="n">
        <f aca="false">IF(AND($O11="Active",$L11="利害關係方",OR($R11="—",$R11="")),1,0)</f>
        <v>1</v>
      </c>
      <c r="AM11" s="35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6" t="s">
        <v>6388</v>
      </c>
      <c r="B12" s="6" t="s">
        <v>6389</v>
      </c>
      <c r="C12" s="217" t="n">
        <v>10</v>
      </c>
      <c r="D12" s="215"/>
      <c r="E12" s="215"/>
      <c r="F12" s="36" t="s">
        <v>774</v>
      </c>
      <c r="G12" s="36" t="s">
        <v>6370</v>
      </c>
      <c r="H12" s="36" t="s">
        <v>1182</v>
      </c>
      <c r="I12" s="36" t="s">
        <v>1180</v>
      </c>
      <c r="J12" s="6" t="s">
        <v>6371</v>
      </c>
      <c r="K12" s="215" t="n">
        <v>1</v>
      </c>
      <c r="L12" s="215" t="s">
        <v>5373</v>
      </c>
      <c r="M12" s="6" t="s">
        <v>6372</v>
      </c>
      <c r="N12" s="215" t="s">
        <v>5884</v>
      </c>
      <c r="O12" s="36" t="s">
        <v>5376</v>
      </c>
      <c r="P12" s="36" t="s">
        <v>587</v>
      </c>
      <c r="Q12" s="36" t="s">
        <v>6373</v>
      </c>
      <c r="R12" s="36" t="s">
        <v>587</v>
      </c>
      <c r="S12" s="36" t="s">
        <v>587</v>
      </c>
      <c r="T12" s="36" t="s">
        <v>587</v>
      </c>
      <c r="U12" s="36" t="s">
        <v>6374</v>
      </c>
      <c r="V12" s="6" t="s">
        <v>6390</v>
      </c>
      <c r="W12" s="6" t="s">
        <v>587</v>
      </c>
      <c r="AC12" s="186" t="n">
        <f aca="false">IF($O12="Active",SUMPRODUCT(($AM$5:$AM$98=$AM12)*1),0)</f>
        <v>1</v>
      </c>
      <c r="AD12" s="186" t="n">
        <f aca="false">IF(AND($O12="Active",OR($Q12="—",$Q12="")),1,0)</f>
        <v>0</v>
      </c>
      <c r="AE12" s="186" t="n">
        <f aca="false">IF(AND($O12="Active",$L12="利害關係方",OR($R12="—",$R12="")),1,0)</f>
        <v>1</v>
      </c>
      <c r="AM12" s="35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6" t="s">
        <v>6391</v>
      </c>
      <c r="B13" s="6" t="s">
        <v>6392</v>
      </c>
      <c r="C13" s="217" t="n">
        <v>10</v>
      </c>
      <c r="D13" s="215"/>
      <c r="E13" s="215"/>
      <c r="F13" s="36" t="s">
        <v>774</v>
      </c>
      <c r="G13" s="36" t="s">
        <v>6370</v>
      </c>
      <c r="H13" s="36" t="s">
        <v>1184</v>
      </c>
      <c r="I13" s="36" t="s">
        <v>1180</v>
      </c>
      <c r="J13" s="6" t="s">
        <v>6371</v>
      </c>
      <c r="K13" s="215" t="n">
        <v>1</v>
      </c>
      <c r="L13" s="215" t="s">
        <v>5373</v>
      </c>
      <c r="M13" s="6" t="s">
        <v>6372</v>
      </c>
      <c r="N13" s="215" t="s">
        <v>5884</v>
      </c>
      <c r="O13" s="36" t="s">
        <v>5376</v>
      </c>
      <c r="P13" s="36" t="s">
        <v>587</v>
      </c>
      <c r="Q13" s="36" t="s">
        <v>6373</v>
      </c>
      <c r="R13" s="36" t="s">
        <v>587</v>
      </c>
      <c r="S13" s="36" t="s">
        <v>587</v>
      </c>
      <c r="T13" s="36" t="s">
        <v>587</v>
      </c>
      <c r="U13" s="36" t="s">
        <v>6374</v>
      </c>
      <c r="V13" s="6" t="s">
        <v>6393</v>
      </c>
      <c r="W13" s="6" t="s">
        <v>587</v>
      </c>
      <c r="AC13" s="186" t="n">
        <f aca="false">IF($O13="Active",SUMPRODUCT(($AM$5:$AM$98=$AM13)*1),0)</f>
        <v>1</v>
      </c>
      <c r="AD13" s="186" t="n">
        <f aca="false">IF(AND($O13="Active",OR($Q13="—",$Q13="")),1,0)</f>
        <v>0</v>
      </c>
      <c r="AE13" s="186" t="n">
        <f aca="false">IF(AND($O13="Active",$L13="利害關係方",OR($R13="—",$R13="")),1,0)</f>
        <v>1</v>
      </c>
      <c r="AM13" s="35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6" t="s">
        <v>6394</v>
      </c>
      <c r="B14" s="6" t="s">
        <v>6395</v>
      </c>
      <c r="C14" s="217" t="n">
        <v>1</v>
      </c>
      <c r="D14" s="215"/>
      <c r="E14" s="215"/>
      <c r="F14" s="36" t="s">
        <v>774</v>
      </c>
      <c r="G14" s="36" t="s">
        <v>6370</v>
      </c>
      <c r="H14" s="36" t="s">
        <v>1184</v>
      </c>
      <c r="I14" s="36" t="s">
        <v>1180</v>
      </c>
      <c r="J14" s="6" t="s">
        <v>6371</v>
      </c>
      <c r="K14" s="215" t="n">
        <v>1</v>
      </c>
      <c r="L14" s="215" t="s">
        <v>5373</v>
      </c>
      <c r="M14" s="6" t="s">
        <v>6372</v>
      </c>
      <c r="N14" s="215" t="s">
        <v>5884</v>
      </c>
      <c r="O14" s="36" t="s">
        <v>5376</v>
      </c>
      <c r="P14" s="36" t="s">
        <v>587</v>
      </c>
      <c r="Q14" s="36" t="s">
        <v>6373</v>
      </c>
      <c r="R14" s="36" t="s">
        <v>587</v>
      </c>
      <c r="S14" s="36" t="s">
        <v>587</v>
      </c>
      <c r="T14" s="36" t="s">
        <v>587</v>
      </c>
      <c r="U14" s="36" t="s">
        <v>6374</v>
      </c>
      <c r="V14" s="6" t="s">
        <v>6396</v>
      </c>
      <c r="W14" s="6" t="s">
        <v>587</v>
      </c>
      <c r="AC14" s="186" t="n">
        <f aca="false">IF($O14="Active",SUMPRODUCT(($AM$5:$AM$98=$AM14)*1),0)</f>
        <v>1</v>
      </c>
      <c r="AD14" s="186" t="n">
        <f aca="false">IF(AND($O14="Active",OR($Q14="—",$Q14="")),1,0)</f>
        <v>0</v>
      </c>
      <c r="AE14" s="186" t="n">
        <f aca="false">IF(AND($O14="Active",$L14="利害關係方",OR($R14="—",$R14="")),1,0)</f>
        <v>1</v>
      </c>
      <c r="AM14" s="35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6" t="s">
        <v>6397</v>
      </c>
      <c r="B15" s="6" t="s">
        <v>6398</v>
      </c>
      <c r="C15" s="217" t="n">
        <v>50</v>
      </c>
      <c r="D15" s="215"/>
      <c r="E15" s="215"/>
      <c r="F15" s="36" t="s">
        <v>774</v>
      </c>
      <c r="G15" s="36" t="s">
        <v>6370</v>
      </c>
      <c r="H15" s="36" t="s">
        <v>1184</v>
      </c>
      <c r="I15" s="36" t="s">
        <v>1180</v>
      </c>
      <c r="J15" s="6" t="s">
        <v>6371</v>
      </c>
      <c r="K15" s="215" t="n">
        <v>1</v>
      </c>
      <c r="L15" s="215" t="s">
        <v>5373</v>
      </c>
      <c r="M15" s="6" t="s">
        <v>6372</v>
      </c>
      <c r="N15" s="215" t="s">
        <v>5884</v>
      </c>
      <c r="O15" s="36" t="s">
        <v>5376</v>
      </c>
      <c r="P15" s="36" t="s">
        <v>587</v>
      </c>
      <c r="Q15" s="36" t="s">
        <v>6373</v>
      </c>
      <c r="R15" s="36" t="s">
        <v>587</v>
      </c>
      <c r="S15" s="36" t="s">
        <v>587</v>
      </c>
      <c r="T15" s="36" t="s">
        <v>587</v>
      </c>
      <c r="U15" s="36" t="s">
        <v>6374</v>
      </c>
      <c r="V15" s="6" t="s">
        <v>6399</v>
      </c>
      <c r="W15" s="6" t="s">
        <v>587</v>
      </c>
      <c r="AC15" s="186" t="n">
        <f aca="false">IF($O15="Active",SUMPRODUCT(($AM$5:$AM$98=$AM15)*1),0)</f>
        <v>1</v>
      </c>
      <c r="AD15" s="186" t="n">
        <f aca="false">IF(AND($O15="Active",OR($Q15="—",$Q15="")),1,0)</f>
        <v>0</v>
      </c>
      <c r="AE15" s="186" t="n">
        <f aca="false">IF(AND($O15="Active",$L15="利害關係方",OR($R15="—",$R15="")),1,0)</f>
        <v>1</v>
      </c>
      <c r="AM15" s="35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6" t="s">
        <v>6400</v>
      </c>
      <c r="B16" s="6" t="s">
        <v>6401</v>
      </c>
      <c r="C16" s="217" t="n">
        <v>10</v>
      </c>
      <c r="D16" s="215"/>
      <c r="E16" s="215"/>
      <c r="F16" s="36" t="s">
        <v>774</v>
      </c>
      <c r="G16" s="36" t="s">
        <v>6370</v>
      </c>
      <c r="H16" s="36" t="s">
        <v>1187</v>
      </c>
      <c r="I16" s="36" t="s">
        <v>1189</v>
      </c>
      <c r="J16" s="6" t="s">
        <v>6402</v>
      </c>
      <c r="K16" s="215" t="n">
        <v>2</v>
      </c>
      <c r="L16" s="215" t="s">
        <v>5373</v>
      </c>
      <c r="M16" s="6" t="s">
        <v>6403</v>
      </c>
      <c r="N16" s="215" t="s">
        <v>5386</v>
      </c>
      <c r="O16" s="36" t="s">
        <v>5376</v>
      </c>
      <c r="P16" s="36" t="s">
        <v>587</v>
      </c>
      <c r="Q16" s="36" t="s">
        <v>6404</v>
      </c>
      <c r="R16" s="36" t="s">
        <v>587</v>
      </c>
      <c r="S16" s="36" t="s">
        <v>587</v>
      </c>
      <c r="T16" s="36" t="s">
        <v>587</v>
      </c>
      <c r="U16" s="36" t="s">
        <v>6405</v>
      </c>
      <c r="V16" s="6" t="s">
        <v>6406</v>
      </c>
      <c r="W16" s="6" t="s">
        <v>587</v>
      </c>
      <c r="AC16" s="186" t="n">
        <f aca="false">IF($O16="Active",SUMPRODUCT(($AM$5:$AM$98=$AM16)*1),0)</f>
        <v>1</v>
      </c>
      <c r="AD16" s="186" t="n">
        <f aca="false">IF(AND($O16="Active",OR($Q16="—",$Q16="")),1,0)</f>
        <v>0</v>
      </c>
      <c r="AE16" s="186" t="n">
        <f aca="false">IF(AND($O16="Active",$L16="利害關係方",OR($R16="—",$R16="")),1,0)</f>
        <v>1</v>
      </c>
      <c r="AM16" s="35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6" t="s">
        <v>6407</v>
      </c>
      <c r="B17" s="6" t="s">
        <v>6408</v>
      </c>
      <c r="C17" s="217" t="n">
        <v>0.25</v>
      </c>
      <c r="D17" s="215"/>
      <c r="E17" s="215"/>
      <c r="F17" s="36" t="s">
        <v>774</v>
      </c>
      <c r="G17" s="36" t="s">
        <v>6370</v>
      </c>
      <c r="H17" s="36" t="s">
        <v>1187</v>
      </c>
      <c r="I17" s="36" t="s">
        <v>1189</v>
      </c>
      <c r="J17" s="6" t="s">
        <v>6402</v>
      </c>
      <c r="K17" s="215" t="n">
        <v>2</v>
      </c>
      <c r="L17" s="215" t="s">
        <v>5373</v>
      </c>
      <c r="M17" s="6" t="s">
        <v>6403</v>
      </c>
      <c r="N17" s="215" t="s">
        <v>5386</v>
      </c>
      <c r="O17" s="36" t="s">
        <v>5376</v>
      </c>
      <c r="P17" s="36" t="s">
        <v>587</v>
      </c>
      <c r="Q17" s="36" t="s">
        <v>6404</v>
      </c>
      <c r="R17" s="36" t="s">
        <v>587</v>
      </c>
      <c r="S17" s="36" t="s">
        <v>587</v>
      </c>
      <c r="T17" s="36" t="s">
        <v>587</v>
      </c>
      <c r="U17" s="36" t="s">
        <v>6405</v>
      </c>
      <c r="V17" s="6" t="s">
        <v>6409</v>
      </c>
      <c r="W17" s="19" t="s">
        <v>6410</v>
      </c>
      <c r="AC17" s="186" t="n">
        <f aca="false">IF($O17="Active",SUMPRODUCT(($AM$5:$AM$98=$AM17)*1),0)</f>
        <v>1</v>
      </c>
      <c r="AD17" s="186" t="n">
        <f aca="false">IF(AND($O17="Active",OR($Q17="—",$Q17="")),1,0)</f>
        <v>0</v>
      </c>
      <c r="AE17" s="186" t="n">
        <f aca="false">IF(AND($O17="Active",$L17="利害關係方",OR($R17="—",$R17="")),1,0)</f>
        <v>1</v>
      </c>
      <c r="AM17" s="35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6" t="s">
        <v>6411</v>
      </c>
      <c r="B18" s="6" t="s">
        <v>6412</v>
      </c>
      <c r="C18" s="217" t="n">
        <v>50</v>
      </c>
      <c r="D18" s="215"/>
      <c r="E18" s="215"/>
      <c r="F18" s="36" t="s">
        <v>774</v>
      </c>
      <c r="G18" s="36" t="s">
        <v>6370</v>
      </c>
      <c r="H18" s="36" t="s">
        <v>1187</v>
      </c>
      <c r="I18" s="36" t="s">
        <v>1189</v>
      </c>
      <c r="J18" s="6" t="s">
        <v>6402</v>
      </c>
      <c r="K18" s="215" t="n">
        <v>2</v>
      </c>
      <c r="L18" s="215" t="s">
        <v>5373</v>
      </c>
      <c r="M18" s="6" t="s">
        <v>6403</v>
      </c>
      <c r="N18" s="215" t="s">
        <v>5386</v>
      </c>
      <c r="O18" s="36" t="s">
        <v>5376</v>
      </c>
      <c r="P18" s="36" t="s">
        <v>587</v>
      </c>
      <c r="Q18" s="36" t="s">
        <v>6404</v>
      </c>
      <c r="R18" s="36" t="s">
        <v>587</v>
      </c>
      <c r="S18" s="36" t="s">
        <v>587</v>
      </c>
      <c r="T18" s="36" t="s">
        <v>587</v>
      </c>
      <c r="U18" s="36" t="s">
        <v>6405</v>
      </c>
      <c r="V18" s="6" t="s">
        <v>6413</v>
      </c>
      <c r="W18" s="6" t="s">
        <v>587</v>
      </c>
      <c r="AC18" s="186" t="n">
        <f aca="false">IF($O18="Active",SUMPRODUCT(($AM$5:$AM$98=$AM18)*1),0)</f>
        <v>1</v>
      </c>
      <c r="AD18" s="186" t="n">
        <f aca="false">IF(AND($O18="Active",OR($Q18="—",$Q18="")),1,0)</f>
        <v>0</v>
      </c>
      <c r="AE18" s="186" t="n">
        <f aca="false">IF(AND($O18="Active",$L18="利害關係方",OR($R18="—",$R18="")),1,0)</f>
        <v>1</v>
      </c>
      <c r="AM18" s="35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6" t="s">
        <v>6414</v>
      </c>
      <c r="B19" s="6" t="s">
        <v>6415</v>
      </c>
      <c r="C19" s="217" t="n">
        <v>5</v>
      </c>
      <c r="D19" s="215"/>
      <c r="E19" s="215"/>
      <c r="F19" s="36" t="s">
        <v>774</v>
      </c>
      <c r="G19" s="36" t="s">
        <v>6370</v>
      </c>
      <c r="H19" s="36" t="s">
        <v>1191</v>
      </c>
      <c r="I19" s="36" t="s">
        <v>6416</v>
      </c>
      <c r="J19" s="6" t="s">
        <v>6402</v>
      </c>
      <c r="K19" s="215" t="n">
        <v>2</v>
      </c>
      <c r="L19" s="215" t="s">
        <v>5373</v>
      </c>
      <c r="M19" s="6" t="s">
        <v>6403</v>
      </c>
      <c r="N19" s="215" t="s">
        <v>5386</v>
      </c>
      <c r="O19" s="36" t="s">
        <v>5376</v>
      </c>
      <c r="P19" s="36" t="s">
        <v>587</v>
      </c>
      <c r="Q19" s="36" t="s">
        <v>6404</v>
      </c>
      <c r="R19" s="36" t="s">
        <v>587</v>
      </c>
      <c r="S19" s="36" t="s">
        <v>587</v>
      </c>
      <c r="T19" s="36" t="s">
        <v>587</v>
      </c>
      <c r="U19" s="36" t="s">
        <v>6405</v>
      </c>
      <c r="V19" s="6" t="s">
        <v>6417</v>
      </c>
      <c r="W19" s="19" t="s">
        <v>6418</v>
      </c>
      <c r="AC19" s="186" t="n">
        <f aca="false">IF($O19="Active",SUMPRODUCT(($AM$5:$AM$98=$AM19)*1),0)</f>
        <v>1</v>
      </c>
      <c r="AD19" s="186" t="n">
        <f aca="false">IF(AND($O19="Active",OR($Q19="—",$Q19="")),1,0)</f>
        <v>0</v>
      </c>
      <c r="AE19" s="186" t="n">
        <f aca="false">IF(AND($O19="Active",$L19="利害關係方",OR($R19="—",$R19="")),1,0)</f>
        <v>1</v>
      </c>
      <c r="AM19" s="35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6" t="s">
        <v>6419</v>
      </c>
      <c r="B20" s="6" t="s">
        <v>6420</v>
      </c>
      <c r="C20" s="217" t="n">
        <v>25</v>
      </c>
      <c r="D20" s="215"/>
      <c r="E20" s="215"/>
      <c r="F20" s="36" t="s">
        <v>774</v>
      </c>
      <c r="G20" s="36" t="s">
        <v>6370</v>
      </c>
      <c r="H20" s="36" t="s">
        <v>1191</v>
      </c>
      <c r="I20" s="36" t="s">
        <v>6416</v>
      </c>
      <c r="J20" s="6" t="s">
        <v>6402</v>
      </c>
      <c r="K20" s="215" t="n">
        <v>2</v>
      </c>
      <c r="L20" s="215" t="s">
        <v>5373</v>
      </c>
      <c r="M20" s="6" t="s">
        <v>6403</v>
      </c>
      <c r="N20" s="215" t="s">
        <v>5386</v>
      </c>
      <c r="O20" s="36" t="s">
        <v>5376</v>
      </c>
      <c r="P20" s="36" t="s">
        <v>587</v>
      </c>
      <c r="Q20" s="36" t="s">
        <v>6404</v>
      </c>
      <c r="R20" s="36" t="s">
        <v>587</v>
      </c>
      <c r="S20" s="36" t="s">
        <v>587</v>
      </c>
      <c r="T20" s="36" t="s">
        <v>587</v>
      </c>
      <c r="U20" s="36" t="s">
        <v>6405</v>
      </c>
      <c r="V20" s="6" t="s">
        <v>6421</v>
      </c>
      <c r="W20" s="6" t="s">
        <v>587</v>
      </c>
      <c r="AC20" s="186" t="n">
        <f aca="false">IF($O20="Active",SUMPRODUCT(($AM$5:$AM$98=$AM20)*1),0)</f>
        <v>1</v>
      </c>
      <c r="AD20" s="186" t="n">
        <f aca="false">IF(AND($O20="Active",OR($Q20="—",$Q20="")),1,0)</f>
        <v>0</v>
      </c>
      <c r="AE20" s="186" t="n">
        <f aca="false">IF(AND($O20="Active",$L20="利害關係方",OR($R20="—",$R20="")),1,0)</f>
        <v>1</v>
      </c>
      <c r="AM20" s="35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6" t="s">
        <v>6422</v>
      </c>
      <c r="B21" s="6" t="s">
        <v>6423</v>
      </c>
      <c r="C21" s="217" t="n">
        <v>4</v>
      </c>
      <c r="D21" s="215"/>
      <c r="E21" s="215"/>
      <c r="F21" s="36" t="s">
        <v>774</v>
      </c>
      <c r="G21" s="36" t="s">
        <v>6370</v>
      </c>
      <c r="H21" s="36" t="s">
        <v>1194</v>
      </c>
      <c r="I21" s="36" t="s">
        <v>1196</v>
      </c>
      <c r="J21" s="6" t="s">
        <v>6402</v>
      </c>
      <c r="K21" s="215" t="n">
        <v>2</v>
      </c>
      <c r="L21" s="215" t="s">
        <v>5373</v>
      </c>
      <c r="M21" s="6" t="s">
        <v>6403</v>
      </c>
      <c r="N21" s="215" t="s">
        <v>5386</v>
      </c>
      <c r="O21" s="36" t="s">
        <v>5376</v>
      </c>
      <c r="P21" s="36" t="s">
        <v>587</v>
      </c>
      <c r="Q21" s="36" t="s">
        <v>6404</v>
      </c>
      <c r="R21" s="36" t="s">
        <v>587</v>
      </c>
      <c r="S21" s="36" t="s">
        <v>587</v>
      </c>
      <c r="T21" s="36" t="s">
        <v>587</v>
      </c>
      <c r="U21" s="36" t="s">
        <v>6405</v>
      </c>
      <c r="V21" s="6" t="s">
        <v>6424</v>
      </c>
      <c r="W21" s="19" t="s">
        <v>6425</v>
      </c>
      <c r="AC21" s="186" t="n">
        <f aca="false">IF($O21="Active",SUMPRODUCT(($AM$5:$AM$98=$AM21)*1),0)</f>
        <v>1</v>
      </c>
      <c r="AD21" s="186" t="n">
        <f aca="false">IF(AND($O21="Active",OR($Q21="—",$Q21="")),1,0)</f>
        <v>0</v>
      </c>
      <c r="AE21" s="186" t="n">
        <f aca="false">IF(AND($O21="Active",$L21="利害關係方",OR($R21="—",$R21="")),1,0)</f>
        <v>1</v>
      </c>
      <c r="AM21" s="35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6" t="s">
        <v>6426</v>
      </c>
      <c r="B22" s="6" t="s">
        <v>6427</v>
      </c>
      <c r="C22" s="217" t="n">
        <v>20</v>
      </c>
      <c r="D22" s="215"/>
      <c r="E22" s="215"/>
      <c r="F22" s="36" t="s">
        <v>774</v>
      </c>
      <c r="G22" s="36" t="s">
        <v>6370</v>
      </c>
      <c r="H22" s="36" t="s">
        <v>1194</v>
      </c>
      <c r="I22" s="36" t="s">
        <v>1196</v>
      </c>
      <c r="J22" s="6" t="s">
        <v>6402</v>
      </c>
      <c r="K22" s="215" t="n">
        <v>2</v>
      </c>
      <c r="L22" s="215" t="s">
        <v>5373</v>
      </c>
      <c r="M22" s="6" t="s">
        <v>6403</v>
      </c>
      <c r="N22" s="215" t="s">
        <v>5386</v>
      </c>
      <c r="O22" s="36" t="s">
        <v>5376</v>
      </c>
      <c r="P22" s="36" t="s">
        <v>587</v>
      </c>
      <c r="Q22" s="36" t="s">
        <v>6404</v>
      </c>
      <c r="R22" s="36" t="s">
        <v>587</v>
      </c>
      <c r="S22" s="36" t="s">
        <v>587</v>
      </c>
      <c r="T22" s="36" t="s">
        <v>587</v>
      </c>
      <c r="U22" s="36" t="s">
        <v>6405</v>
      </c>
      <c r="V22" s="6" t="s">
        <v>6428</v>
      </c>
      <c r="W22" s="6" t="s">
        <v>587</v>
      </c>
      <c r="AC22" s="186" t="n">
        <f aca="false">IF($O22="Active",SUMPRODUCT(($AM$5:$AM$98=$AM22)*1),0)</f>
        <v>1</v>
      </c>
      <c r="AD22" s="186" t="n">
        <f aca="false">IF(AND($O22="Active",OR($Q22="—",$Q22="")),1,0)</f>
        <v>0</v>
      </c>
      <c r="AE22" s="186" t="n">
        <f aca="false">IF(AND($O22="Active",$L22="利害關係方",OR($R22="—",$R22="")),1,0)</f>
        <v>1</v>
      </c>
      <c r="AM22" s="35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6" t="s">
        <v>6429</v>
      </c>
      <c r="B23" s="6" t="s">
        <v>6430</v>
      </c>
      <c r="C23" s="217" t="n">
        <v>1.25</v>
      </c>
      <c r="D23" s="215"/>
      <c r="E23" s="215"/>
      <c r="F23" s="36" t="s">
        <v>6431</v>
      </c>
      <c r="G23" s="36" t="s">
        <v>587</v>
      </c>
      <c r="H23" s="36" t="s">
        <v>1188</v>
      </c>
      <c r="I23" s="36" t="s">
        <v>6416</v>
      </c>
      <c r="J23" s="6" t="s">
        <v>6402</v>
      </c>
      <c r="K23" s="215" t="n">
        <v>2</v>
      </c>
      <c r="L23" s="215" t="s">
        <v>5373</v>
      </c>
      <c r="M23" s="6" t="s">
        <v>6403</v>
      </c>
      <c r="N23" s="215" t="s">
        <v>5386</v>
      </c>
      <c r="O23" s="36" t="s">
        <v>5376</v>
      </c>
      <c r="P23" s="36" t="s">
        <v>587</v>
      </c>
      <c r="Q23" s="36" t="s">
        <v>6404</v>
      </c>
      <c r="R23" s="36" t="s">
        <v>587</v>
      </c>
      <c r="S23" s="36" t="s">
        <v>587</v>
      </c>
      <c r="T23" s="36" t="s">
        <v>587</v>
      </c>
      <c r="U23" s="36" t="s">
        <v>6405</v>
      </c>
      <c r="V23" s="6" t="s">
        <v>587</v>
      </c>
      <c r="W23" s="6" t="s">
        <v>587</v>
      </c>
      <c r="AC23" s="186" t="n">
        <f aca="false">IF($O23="Active",SUMPRODUCT(($AM$5:$AM$98=$AM23)*1),0)</f>
        <v>1</v>
      </c>
      <c r="AD23" s="186" t="n">
        <f aca="false">IF(AND($O23="Active",OR($Q23="—",$Q23="")),1,0)</f>
        <v>0</v>
      </c>
      <c r="AE23" s="186" t="n">
        <f aca="false">IF(AND($O23="Active",$L23="利害關係方",OR($R23="—",$R23="")),1,0)</f>
        <v>1</v>
      </c>
      <c r="AM23" s="35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6" t="s">
        <v>6432</v>
      </c>
      <c r="B24" s="6" t="s">
        <v>6433</v>
      </c>
      <c r="C24" s="217" t="n">
        <v>2</v>
      </c>
      <c r="D24" s="215"/>
      <c r="E24" s="215"/>
      <c r="F24" s="36" t="s">
        <v>6431</v>
      </c>
      <c r="G24" s="36" t="s">
        <v>587</v>
      </c>
      <c r="H24" s="36" t="s">
        <v>1188</v>
      </c>
      <c r="I24" s="36" t="s">
        <v>6416</v>
      </c>
      <c r="J24" s="6" t="s">
        <v>6402</v>
      </c>
      <c r="K24" s="215" t="n">
        <v>2</v>
      </c>
      <c r="L24" s="215" t="s">
        <v>5373</v>
      </c>
      <c r="M24" s="6" t="s">
        <v>6403</v>
      </c>
      <c r="N24" s="215" t="s">
        <v>5386</v>
      </c>
      <c r="O24" s="36" t="s">
        <v>5376</v>
      </c>
      <c r="P24" s="36" t="s">
        <v>587</v>
      </c>
      <c r="Q24" s="36" t="s">
        <v>6404</v>
      </c>
      <c r="R24" s="36" t="s">
        <v>587</v>
      </c>
      <c r="S24" s="36" t="s">
        <v>587</v>
      </c>
      <c r="T24" s="36" t="s">
        <v>587</v>
      </c>
      <c r="U24" s="36" t="s">
        <v>6405</v>
      </c>
      <c r="V24" s="6" t="s">
        <v>587</v>
      </c>
      <c r="W24" s="6" t="s">
        <v>587</v>
      </c>
      <c r="AC24" s="186" t="n">
        <f aca="false">IF($O24="Active",SUMPRODUCT(($AM$5:$AM$98=$AM24)*1),0)</f>
        <v>1</v>
      </c>
      <c r="AD24" s="186" t="n">
        <f aca="false">IF(AND($O24="Active",OR($Q24="—",$Q24="")),1,0)</f>
        <v>0</v>
      </c>
      <c r="AE24" s="186" t="n">
        <f aca="false">IF(AND($O24="Active",$L24="利害關係方",OR($R24="—",$R24="")),1,0)</f>
        <v>1</v>
      </c>
      <c r="AM24" s="35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6" t="s">
        <v>6434</v>
      </c>
      <c r="B25" s="6" t="s">
        <v>6435</v>
      </c>
      <c r="C25" s="217" t="n">
        <v>0.3</v>
      </c>
      <c r="D25" s="215"/>
      <c r="E25" s="215"/>
      <c r="F25" s="36" t="s">
        <v>774</v>
      </c>
      <c r="G25" s="215" t="s">
        <v>6436</v>
      </c>
      <c r="H25" s="36" t="s">
        <v>1198</v>
      </c>
      <c r="I25" s="36" t="s">
        <v>1201</v>
      </c>
      <c r="J25" s="6" t="s">
        <v>6437</v>
      </c>
      <c r="K25" s="215" t="n">
        <v>1</v>
      </c>
      <c r="L25" s="215" t="s">
        <v>5373</v>
      </c>
      <c r="M25" s="6" t="s">
        <v>6438</v>
      </c>
      <c r="N25" s="215" t="s">
        <v>5884</v>
      </c>
      <c r="O25" s="36" t="s">
        <v>5376</v>
      </c>
      <c r="P25" s="36" t="s">
        <v>587</v>
      </c>
      <c r="Q25" s="36" t="s">
        <v>6439</v>
      </c>
      <c r="R25" s="36" t="s">
        <v>587</v>
      </c>
      <c r="S25" s="36" t="s">
        <v>587</v>
      </c>
      <c r="T25" s="36" t="s">
        <v>587</v>
      </c>
      <c r="U25" s="36" t="s">
        <v>2972</v>
      </c>
      <c r="V25" s="6" t="s">
        <v>6440</v>
      </c>
      <c r="W25" s="6" t="s">
        <v>587</v>
      </c>
      <c r="AC25" s="186" t="n">
        <f aca="false">IF($O25="Active",SUMPRODUCT(($AM$5:$AM$98=$AM25)*1),0)</f>
        <v>1</v>
      </c>
      <c r="AD25" s="186" t="n">
        <f aca="false">IF(AND($O25="Active",OR($Q25="—",$Q25="")),1,0)</f>
        <v>0</v>
      </c>
      <c r="AE25" s="186" t="n">
        <f aca="false">IF(AND($O25="Active",$L25="利害關係方",OR($R25="—",$R25="")),1,0)</f>
        <v>1</v>
      </c>
      <c r="AM25" s="35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6" t="s">
        <v>6441</v>
      </c>
      <c r="B26" s="6" t="s">
        <v>6442</v>
      </c>
      <c r="C26" s="217" t="n">
        <v>0.006</v>
      </c>
      <c r="D26" s="215"/>
      <c r="E26" s="215"/>
      <c r="F26" s="36" t="s">
        <v>774</v>
      </c>
      <c r="G26" s="215" t="s">
        <v>6443</v>
      </c>
      <c r="H26" s="36" t="s">
        <v>1198</v>
      </c>
      <c r="I26" s="36" t="s">
        <v>1201</v>
      </c>
      <c r="J26" s="6" t="s">
        <v>6437</v>
      </c>
      <c r="K26" s="215" t="n">
        <v>1</v>
      </c>
      <c r="L26" s="215" t="s">
        <v>5373</v>
      </c>
      <c r="M26" s="6" t="s">
        <v>6438</v>
      </c>
      <c r="N26" s="215" t="s">
        <v>5884</v>
      </c>
      <c r="O26" s="36" t="s">
        <v>5376</v>
      </c>
      <c r="P26" s="36" t="s">
        <v>587</v>
      </c>
      <c r="Q26" s="36" t="s">
        <v>6439</v>
      </c>
      <c r="R26" s="36" t="s">
        <v>587</v>
      </c>
      <c r="S26" s="36" t="s">
        <v>587</v>
      </c>
      <c r="T26" s="36" t="s">
        <v>587</v>
      </c>
      <c r="U26" s="36" t="s">
        <v>2972</v>
      </c>
      <c r="V26" s="6" t="s">
        <v>6444</v>
      </c>
      <c r="W26" s="6" t="s">
        <v>587</v>
      </c>
      <c r="AC26" s="186" t="n">
        <f aca="false">IF($O26="Active",SUMPRODUCT(($AM$5:$AM$98=$AM26)*1),0)</f>
        <v>1</v>
      </c>
      <c r="AD26" s="186" t="n">
        <f aca="false">IF(AND($O26="Active",OR($Q26="—",$Q26="")),1,0)</f>
        <v>0</v>
      </c>
      <c r="AE26" s="186" t="n">
        <f aca="false">IF(AND($O26="Active",$L26="利害關係方",OR($R26="—",$R26="")),1,0)</f>
        <v>1</v>
      </c>
      <c r="AM26" s="35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6" t="s">
        <v>6445</v>
      </c>
      <c r="B27" s="6" t="s">
        <v>6446</v>
      </c>
      <c r="C27" s="217" t="n">
        <v>1.2</v>
      </c>
      <c r="D27" s="215"/>
      <c r="E27" s="215"/>
      <c r="F27" s="36" t="s">
        <v>774</v>
      </c>
      <c r="G27" s="215" t="s">
        <v>6443</v>
      </c>
      <c r="H27" s="36" t="s">
        <v>1198</v>
      </c>
      <c r="I27" s="36" t="s">
        <v>1201</v>
      </c>
      <c r="J27" s="6" t="s">
        <v>6437</v>
      </c>
      <c r="K27" s="215" t="n">
        <v>1</v>
      </c>
      <c r="L27" s="215" t="s">
        <v>5373</v>
      </c>
      <c r="M27" s="6" t="s">
        <v>6438</v>
      </c>
      <c r="N27" s="215" t="s">
        <v>5884</v>
      </c>
      <c r="O27" s="36" t="s">
        <v>5376</v>
      </c>
      <c r="P27" s="36" t="s">
        <v>587</v>
      </c>
      <c r="Q27" s="36" t="s">
        <v>6439</v>
      </c>
      <c r="R27" s="36" t="s">
        <v>587</v>
      </c>
      <c r="S27" s="36" t="s">
        <v>587</v>
      </c>
      <c r="T27" s="36" t="s">
        <v>587</v>
      </c>
      <c r="U27" s="36" t="s">
        <v>2972</v>
      </c>
      <c r="V27" s="6" t="s">
        <v>6447</v>
      </c>
      <c r="W27" s="6" t="s">
        <v>587</v>
      </c>
      <c r="AC27" s="186" t="n">
        <f aca="false">IF($O27="Active",SUMPRODUCT(($AM$5:$AM$98=$AM27)*1),0)</f>
        <v>1</v>
      </c>
      <c r="AD27" s="186" t="n">
        <f aca="false">IF(AND($O27="Active",OR($Q27="—",$Q27="")),1,0)</f>
        <v>0</v>
      </c>
      <c r="AE27" s="186" t="n">
        <f aca="false">IF(AND($O27="Active",$L27="利害關係方",OR($R27="—",$R27="")),1,0)</f>
        <v>1</v>
      </c>
      <c r="AM27" s="35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6" t="s">
        <v>6448</v>
      </c>
      <c r="B28" s="6" t="s">
        <v>6449</v>
      </c>
      <c r="C28" s="217" t="n">
        <v>1.32</v>
      </c>
      <c r="D28" s="215"/>
      <c r="E28" s="215"/>
      <c r="F28" s="36" t="s">
        <v>774</v>
      </c>
      <c r="G28" s="215" t="s">
        <v>6443</v>
      </c>
      <c r="H28" s="36" t="s">
        <v>1203</v>
      </c>
      <c r="I28" s="36" t="s">
        <v>1201</v>
      </c>
      <c r="J28" s="6" t="s">
        <v>6437</v>
      </c>
      <c r="K28" s="215" t="n">
        <v>1</v>
      </c>
      <c r="L28" s="215" t="s">
        <v>5373</v>
      </c>
      <c r="M28" s="6" t="s">
        <v>6438</v>
      </c>
      <c r="N28" s="215" t="s">
        <v>5884</v>
      </c>
      <c r="O28" s="36" t="s">
        <v>5376</v>
      </c>
      <c r="P28" s="36" t="s">
        <v>587</v>
      </c>
      <c r="Q28" s="36" t="s">
        <v>6439</v>
      </c>
      <c r="R28" s="36" t="s">
        <v>587</v>
      </c>
      <c r="S28" s="36" t="s">
        <v>587</v>
      </c>
      <c r="T28" s="36" t="s">
        <v>587</v>
      </c>
      <c r="U28" s="36" t="s">
        <v>2972</v>
      </c>
      <c r="V28" s="6" t="s">
        <v>6450</v>
      </c>
      <c r="W28" s="6" t="s">
        <v>587</v>
      </c>
      <c r="AC28" s="186" t="n">
        <f aca="false">IF($O28="Active",SUMPRODUCT(($AM$5:$AM$98=$AM28)*1),0)</f>
        <v>1</v>
      </c>
      <c r="AD28" s="186" t="n">
        <f aca="false">IF(AND($O28="Active",OR($Q28="—",$Q28="")),1,0)</f>
        <v>0</v>
      </c>
      <c r="AE28" s="186" t="n">
        <f aca="false">IF(AND($O28="Active",$L28="利害關係方",OR($R28="—",$R28="")),1,0)</f>
        <v>1</v>
      </c>
      <c r="AM28" s="35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6" t="s">
        <v>6451</v>
      </c>
      <c r="B29" s="6" t="s">
        <v>6452</v>
      </c>
      <c r="C29" s="217" t="n">
        <v>0.044</v>
      </c>
      <c r="D29" s="215"/>
      <c r="E29" s="215"/>
      <c r="F29" s="36" t="s">
        <v>774</v>
      </c>
      <c r="G29" s="215" t="s">
        <v>6443</v>
      </c>
      <c r="H29" s="36" t="s">
        <v>1203</v>
      </c>
      <c r="I29" s="36" t="s">
        <v>1201</v>
      </c>
      <c r="J29" s="6" t="s">
        <v>6437</v>
      </c>
      <c r="K29" s="215" t="n">
        <v>1</v>
      </c>
      <c r="L29" s="215" t="s">
        <v>5373</v>
      </c>
      <c r="M29" s="6" t="s">
        <v>6438</v>
      </c>
      <c r="N29" s="215" t="s">
        <v>5884</v>
      </c>
      <c r="O29" s="36" t="s">
        <v>5376</v>
      </c>
      <c r="P29" s="36" t="s">
        <v>587</v>
      </c>
      <c r="Q29" s="36" t="s">
        <v>6439</v>
      </c>
      <c r="R29" s="36" t="s">
        <v>587</v>
      </c>
      <c r="S29" s="36" t="s">
        <v>587</v>
      </c>
      <c r="T29" s="36" t="s">
        <v>587</v>
      </c>
      <c r="U29" s="36" t="s">
        <v>2972</v>
      </c>
      <c r="V29" s="6" t="s">
        <v>6453</v>
      </c>
      <c r="W29" s="6" t="s">
        <v>587</v>
      </c>
      <c r="AC29" s="186" t="n">
        <f aca="false">IF($O29="Active",SUMPRODUCT(($AM$5:$AM$98=$AM29)*1),0)</f>
        <v>1</v>
      </c>
      <c r="AD29" s="186" t="n">
        <f aca="false">IF(AND($O29="Active",OR($Q29="—",$Q29="")),1,0)</f>
        <v>0</v>
      </c>
      <c r="AE29" s="186" t="n">
        <f aca="false">IF(AND($O29="Active",$L29="利害關係方",OR($R29="—",$R29="")),1,0)</f>
        <v>1</v>
      </c>
      <c r="AM29" s="35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6" t="s">
        <v>6454</v>
      </c>
      <c r="B30" s="6" t="s">
        <v>6455</v>
      </c>
      <c r="C30" s="217" t="n">
        <v>3.96</v>
      </c>
      <c r="D30" s="215"/>
      <c r="E30" s="215"/>
      <c r="F30" s="36" t="s">
        <v>774</v>
      </c>
      <c r="G30" s="215" t="s">
        <v>6443</v>
      </c>
      <c r="H30" s="36" t="s">
        <v>1203</v>
      </c>
      <c r="I30" s="36" t="s">
        <v>1201</v>
      </c>
      <c r="J30" s="6" t="s">
        <v>6437</v>
      </c>
      <c r="K30" s="215" t="n">
        <v>1</v>
      </c>
      <c r="L30" s="215" t="s">
        <v>5373</v>
      </c>
      <c r="M30" s="6" t="s">
        <v>6438</v>
      </c>
      <c r="N30" s="215" t="s">
        <v>5884</v>
      </c>
      <c r="O30" s="36" t="s">
        <v>5376</v>
      </c>
      <c r="P30" s="36" t="s">
        <v>587</v>
      </c>
      <c r="Q30" s="36" t="s">
        <v>6439</v>
      </c>
      <c r="R30" s="36" t="s">
        <v>587</v>
      </c>
      <c r="S30" s="36" t="s">
        <v>587</v>
      </c>
      <c r="T30" s="36" t="s">
        <v>587</v>
      </c>
      <c r="U30" s="36" t="s">
        <v>2972</v>
      </c>
      <c r="V30" s="6" t="s">
        <v>6456</v>
      </c>
      <c r="W30" s="6" t="s">
        <v>587</v>
      </c>
      <c r="AC30" s="186" t="n">
        <f aca="false">IF($O30="Active",SUMPRODUCT(($AM$5:$AM$98=$AM30)*1),0)</f>
        <v>1</v>
      </c>
      <c r="AD30" s="186" t="n">
        <f aca="false">IF(AND($O30="Active",OR($Q30="—",$Q30="")),1,0)</f>
        <v>0</v>
      </c>
      <c r="AE30" s="186" t="n">
        <f aca="false">IF(AND($O30="Active",$L30="利害關係方",OR($R30="—",$R30="")),1,0)</f>
        <v>1</v>
      </c>
      <c r="AM30" s="35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6" t="s">
        <v>4357</v>
      </c>
      <c r="B31" s="6" t="s">
        <v>6457</v>
      </c>
      <c r="C31" s="217" t="n">
        <v>0.5</v>
      </c>
      <c r="D31" s="215"/>
      <c r="E31" s="215"/>
      <c r="F31" s="36" t="s">
        <v>83</v>
      </c>
      <c r="G31" s="36" t="s">
        <v>587</v>
      </c>
      <c r="H31" s="36" t="s">
        <v>1199</v>
      </c>
      <c r="I31" s="36" t="s">
        <v>1201</v>
      </c>
      <c r="J31" s="6" t="s">
        <v>6437</v>
      </c>
      <c r="K31" s="215" t="n">
        <v>1</v>
      </c>
      <c r="L31" s="215" t="s">
        <v>5373</v>
      </c>
      <c r="M31" s="6" t="s">
        <v>6438</v>
      </c>
      <c r="N31" s="215" t="s">
        <v>5884</v>
      </c>
      <c r="O31" s="36" t="s">
        <v>5376</v>
      </c>
      <c r="P31" s="36" t="s">
        <v>587</v>
      </c>
      <c r="Q31" s="36" t="s">
        <v>6439</v>
      </c>
      <c r="R31" s="36" t="s">
        <v>587</v>
      </c>
      <c r="S31" s="36" t="s">
        <v>587</v>
      </c>
      <c r="T31" s="36" t="s">
        <v>587</v>
      </c>
      <c r="U31" s="36" t="s">
        <v>2972</v>
      </c>
      <c r="V31" s="6" t="s">
        <v>6458</v>
      </c>
      <c r="W31" s="6" t="s">
        <v>587</v>
      </c>
      <c r="AC31" s="186" t="n">
        <f aca="false">IF($O31="Active",SUMPRODUCT(($AM$5:$AM$98=$AM31)*1),0)</f>
        <v>1</v>
      </c>
      <c r="AD31" s="186" t="n">
        <f aca="false">IF(AND($O31="Active",OR($Q31="—",$Q31="")),1,0)</f>
        <v>0</v>
      </c>
      <c r="AE31" s="186" t="n">
        <f aca="false">IF(AND($O31="Active",$L31="利害關係方",OR($R31="—",$R31="")),1,0)</f>
        <v>1</v>
      </c>
      <c r="AM31" s="35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6" t="s">
        <v>6459</v>
      </c>
      <c r="B32" s="6" t="s">
        <v>6460</v>
      </c>
      <c r="C32" s="217" t="n">
        <v>35</v>
      </c>
      <c r="D32" s="215"/>
      <c r="E32" s="215"/>
      <c r="F32" s="36" t="s">
        <v>6461</v>
      </c>
      <c r="G32" s="215" t="s">
        <v>6462</v>
      </c>
      <c r="H32" s="36" t="s">
        <v>1199</v>
      </c>
      <c r="I32" s="36" t="s">
        <v>1201</v>
      </c>
      <c r="J32" s="6" t="s">
        <v>6437</v>
      </c>
      <c r="K32" s="215" t="n">
        <v>1</v>
      </c>
      <c r="L32" s="215" t="s">
        <v>5373</v>
      </c>
      <c r="M32" s="6" t="s">
        <v>6438</v>
      </c>
      <c r="N32" s="215" t="s">
        <v>5884</v>
      </c>
      <c r="O32" s="36" t="s">
        <v>5376</v>
      </c>
      <c r="P32" s="36" t="s">
        <v>587</v>
      </c>
      <c r="Q32" s="36" t="s">
        <v>6439</v>
      </c>
      <c r="R32" s="36" t="s">
        <v>587</v>
      </c>
      <c r="S32" s="36" t="s">
        <v>587</v>
      </c>
      <c r="T32" s="36" t="s">
        <v>587</v>
      </c>
      <c r="U32" s="36" t="s">
        <v>2972</v>
      </c>
      <c r="V32" s="6" t="s">
        <v>6463</v>
      </c>
      <c r="W32" s="19" t="s">
        <v>6464</v>
      </c>
      <c r="AC32" s="186" t="n">
        <f aca="false">IF($O32="Active",SUMPRODUCT(($AM$5:$AM$98=$AM32)*1),0)</f>
        <v>1</v>
      </c>
      <c r="AD32" s="186" t="n">
        <f aca="false">IF(AND($O32="Active",OR($Q32="—",$Q32="")),1,0)</f>
        <v>0</v>
      </c>
      <c r="AE32" s="186" t="n">
        <f aca="false">IF(AND($O32="Active",$L32="利害關係方",OR($R32="—",$R32="")),1,0)</f>
        <v>1</v>
      </c>
      <c r="AM32" s="35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6" t="s">
        <v>6465</v>
      </c>
      <c r="B33" s="6" t="s">
        <v>6466</v>
      </c>
      <c r="C33" s="217" t="n">
        <v>1.4</v>
      </c>
      <c r="D33" s="215"/>
      <c r="E33" s="215"/>
      <c r="F33" s="36" t="s">
        <v>774</v>
      </c>
      <c r="G33" s="36" t="s">
        <v>587</v>
      </c>
      <c r="H33" s="36" t="s">
        <v>1205</v>
      </c>
      <c r="I33" s="36" t="s">
        <v>1201</v>
      </c>
      <c r="J33" s="6" t="s">
        <v>6467</v>
      </c>
      <c r="K33" s="215" t="n">
        <v>1</v>
      </c>
      <c r="L33" s="215" t="s">
        <v>5373</v>
      </c>
      <c r="M33" s="6" t="s">
        <v>6468</v>
      </c>
      <c r="N33" s="215" t="s">
        <v>5884</v>
      </c>
      <c r="O33" s="36" t="s">
        <v>5376</v>
      </c>
      <c r="P33" s="36" t="s">
        <v>587</v>
      </c>
      <c r="Q33" s="36" t="s">
        <v>6469</v>
      </c>
      <c r="R33" s="36" t="s">
        <v>587</v>
      </c>
      <c r="S33" s="36" t="s">
        <v>587</v>
      </c>
      <c r="T33" s="36" t="s">
        <v>587</v>
      </c>
      <c r="U33" s="36" t="s">
        <v>6470</v>
      </c>
      <c r="V33" s="6" t="s">
        <v>6471</v>
      </c>
      <c r="W33" s="6" t="s">
        <v>587</v>
      </c>
      <c r="AC33" s="186" t="n">
        <f aca="false">IF($O33="Active",SUMPRODUCT(($AM$5:$AM$98=$AM33)*1),0)</f>
        <v>1</v>
      </c>
      <c r="AD33" s="186" t="n">
        <f aca="false">IF(AND($O33="Active",OR($Q33="—",$Q33="")),1,0)</f>
        <v>0</v>
      </c>
      <c r="AE33" s="186" t="n">
        <f aca="false">IF(AND($O33="Active",$L33="利害關係方",OR($R33="—",$R33="")),1,0)</f>
        <v>1</v>
      </c>
      <c r="AM33" s="35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6" t="s">
        <v>6472</v>
      </c>
      <c r="B34" s="6" t="s">
        <v>6473</v>
      </c>
      <c r="C34" s="217" t="n">
        <v>0.26</v>
      </c>
      <c r="D34" s="215"/>
      <c r="E34" s="215"/>
      <c r="F34" s="36" t="s">
        <v>774</v>
      </c>
      <c r="G34" s="36" t="s">
        <v>587</v>
      </c>
      <c r="H34" s="36" t="s">
        <v>1205</v>
      </c>
      <c r="I34" s="36" t="s">
        <v>1201</v>
      </c>
      <c r="J34" s="6" t="s">
        <v>6467</v>
      </c>
      <c r="K34" s="215" t="n">
        <v>1</v>
      </c>
      <c r="L34" s="215" t="s">
        <v>5373</v>
      </c>
      <c r="M34" s="6" t="s">
        <v>6468</v>
      </c>
      <c r="N34" s="215" t="s">
        <v>5884</v>
      </c>
      <c r="O34" s="36" t="s">
        <v>5376</v>
      </c>
      <c r="P34" s="36" t="s">
        <v>587</v>
      </c>
      <c r="Q34" s="36" t="s">
        <v>6469</v>
      </c>
      <c r="R34" s="36" t="s">
        <v>587</v>
      </c>
      <c r="S34" s="36" t="s">
        <v>587</v>
      </c>
      <c r="T34" s="36" t="s">
        <v>587</v>
      </c>
      <c r="U34" s="36" t="s">
        <v>6470</v>
      </c>
      <c r="V34" s="6" t="s">
        <v>6474</v>
      </c>
      <c r="W34" s="6" t="s">
        <v>587</v>
      </c>
      <c r="AC34" s="186" t="n">
        <f aca="false">IF($O34="Active",SUMPRODUCT(($AM$5:$AM$98=$AM34)*1),0)</f>
        <v>1</v>
      </c>
      <c r="AD34" s="186" t="n">
        <f aca="false">IF(AND($O34="Active",OR($Q34="—",$Q34="")),1,0)</f>
        <v>0</v>
      </c>
      <c r="AE34" s="186" t="n">
        <f aca="false">IF(AND($O34="Active",$L34="利害關係方",OR($R34="—",$R34="")),1,0)</f>
        <v>1</v>
      </c>
      <c r="AM34" s="35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6" t="s">
        <v>6475</v>
      </c>
      <c r="B35" s="6" t="s">
        <v>6476</v>
      </c>
      <c r="C35" s="217" t="n">
        <v>4.4</v>
      </c>
      <c r="D35" s="215"/>
      <c r="E35" s="215"/>
      <c r="F35" s="36" t="s">
        <v>774</v>
      </c>
      <c r="G35" s="36" t="s">
        <v>587</v>
      </c>
      <c r="H35" s="36" t="s">
        <v>1205</v>
      </c>
      <c r="I35" s="36" t="s">
        <v>1201</v>
      </c>
      <c r="J35" s="6" t="s">
        <v>6467</v>
      </c>
      <c r="K35" s="215" t="n">
        <v>1</v>
      </c>
      <c r="L35" s="215" t="s">
        <v>5373</v>
      </c>
      <c r="M35" s="6" t="s">
        <v>6468</v>
      </c>
      <c r="N35" s="215" t="s">
        <v>5884</v>
      </c>
      <c r="O35" s="36" t="s">
        <v>5376</v>
      </c>
      <c r="P35" s="36" t="s">
        <v>587</v>
      </c>
      <c r="Q35" s="36" t="s">
        <v>6469</v>
      </c>
      <c r="R35" s="36" t="s">
        <v>587</v>
      </c>
      <c r="S35" s="36" t="s">
        <v>587</v>
      </c>
      <c r="T35" s="36" t="s">
        <v>587</v>
      </c>
      <c r="U35" s="36" t="s">
        <v>6470</v>
      </c>
      <c r="V35" s="6" t="s">
        <v>6477</v>
      </c>
      <c r="W35" s="6" t="s">
        <v>587</v>
      </c>
      <c r="AC35" s="186" t="n">
        <f aca="false">IF($O35="Active",SUMPRODUCT(($AM$5:$AM$98=$AM35)*1),0)</f>
        <v>1</v>
      </c>
      <c r="AD35" s="186" t="n">
        <f aca="false">IF(AND($O35="Active",OR($Q35="—",$Q35="")),1,0)</f>
        <v>0</v>
      </c>
      <c r="AE35" s="186" t="n">
        <f aca="false">IF(AND($O35="Active",$L35="利害關係方",OR($R35="—",$R35="")),1,0)</f>
        <v>1</v>
      </c>
      <c r="AM35" s="35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6" t="s">
        <v>6478</v>
      </c>
      <c r="B36" s="6" t="s">
        <v>6479</v>
      </c>
      <c r="C36" s="217" t="n">
        <v>0.15</v>
      </c>
      <c r="D36" s="215"/>
      <c r="E36" s="215"/>
      <c r="F36" s="36" t="s">
        <v>774</v>
      </c>
      <c r="G36" s="36" t="s">
        <v>587</v>
      </c>
      <c r="H36" s="36" t="s">
        <v>1209</v>
      </c>
      <c r="I36" s="36" t="s">
        <v>1201</v>
      </c>
      <c r="J36" s="6" t="s">
        <v>6467</v>
      </c>
      <c r="K36" s="215" t="n">
        <v>1</v>
      </c>
      <c r="L36" s="215" t="s">
        <v>5373</v>
      </c>
      <c r="M36" s="6" t="s">
        <v>6468</v>
      </c>
      <c r="N36" s="215" t="s">
        <v>5884</v>
      </c>
      <c r="O36" s="36" t="s">
        <v>5376</v>
      </c>
      <c r="P36" s="36" t="s">
        <v>587</v>
      </c>
      <c r="Q36" s="36" t="s">
        <v>6469</v>
      </c>
      <c r="R36" s="36" t="s">
        <v>587</v>
      </c>
      <c r="S36" s="36" t="s">
        <v>587</v>
      </c>
      <c r="T36" s="36" t="s">
        <v>587</v>
      </c>
      <c r="U36" s="36" t="s">
        <v>6470</v>
      </c>
      <c r="V36" s="6" t="s">
        <v>6480</v>
      </c>
      <c r="W36" s="6" t="s">
        <v>587</v>
      </c>
      <c r="AC36" s="186" t="n">
        <f aca="false">IF($O36="Active",SUMPRODUCT(($AM$5:$AM$98=$AM36)*1),0)</f>
        <v>1</v>
      </c>
      <c r="AD36" s="186" t="n">
        <f aca="false">IF(AND($O36="Active",OR($Q36="—",$Q36="")),1,0)</f>
        <v>0</v>
      </c>
      <c r="AE36" s="186" t="n">
        <f aca="false">IF(AND($O36="Active",$L36="利害關係方",OR($R36="—",$R36="")),1,0)</f>
        <v>1</v>
      </c>
      <c r="AM36" s="35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6" t="s">
        <v>6481</v>
      </c>
      <c r="B37" s="6" t="s">
        <v>6482</v>
      </c>
      <c r="C37" s="217" t="n">
        <v>0.03</v>
      </c>
      <c r="D37" s="215"/>
      <c r="E37" s="215"/>
      <c r="F37" s="36" t="s">
        <v>774</v>
      </c>
      <c r="G37" s="36" t="s">
        <v>587</v>
      </c>
      <c r="H37" s="36" t="s">
        <v>1209</v>
      </c>
      <c r="I37" s="36" t="s">
        <v>1201</v>
      </c>
      <c r="J37" s="6" t="s">
        <v>6467</v>
      </c>
      <c r="K37" s="215" t="n">
        <v>1</v>
      </c>
      <c r="L37" s="215" t="s">
        <v>5373</v>
      </c>
      <c r="M37" s="6" t="s">
        <v>6468</v>
      </c>
      <c r="N37" s="215" t="s">
        <v>5884</v>
      </c>
      <c r="O37" s="36" t="s">
        <v>5376</v>
      </c>
      <c r="P37" s="36" t="s">
        <v>587</v>
      </c>
      <c r="Q37" s="36" t="s">
        <v>6469</v>
      </c>
      <c r="R37" s="36" t="s">
        <v>587</v>
      </c>
      <c r="S37" s="36" t="s">
        <v>587</v>
      </c>
      <c r="T37" s="36" t="s">
        <v>587</v>
      </c>
      <c r="U37" s="36" t="s">
        <v>6470</v>
      </c>
      <c r="V37" s="6" t="s">
        <v>6483</v>
      </c>
      <c r="W37" s="6" t="s">
        <v>587</v>
      </c>
      <c r="AC37" s="186" t="n">
        <f aca="false">IF($O37="Active",SUMPRODUCT(($AM$5:$AM$98=$AM37)*1),0)</f>
        <v>1</v>
      </c>
      <c r="AD37" s="186" t="n">
        <f aca="false">IF(AND($O37="Active",OR($Q37="—",$Q37="")),1,0)</f>
        <v>0</v>
      </c>
      <c r="AE37" s="186" t="n">
        <f aca="false">IF(AND($O37="Active",$L37="利害關係方",OR($R37="—",$R37="")),1,0)</f>
        <v>1</v>
      </c>
      <c r="AM37" s="35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6" t="s">
        <v>6484</v>
      </c>
      <c r="B38" s="6" t="s">
        <v>6485</v>
      </c>
      <c r="C38" s="217" t="n">
        <v>0.5</v>
      </c>
      <c r="D38" s="215"/>
      <c r="E38" s="215"/>
      <c r="F38" s="36" t="s">
        <v>774</v>
      </c>
      <c r="G38" s="36" t="s">
        <v>587</v>
      </c>
      <c r="H38" s="36" t="s">
        <v>1209</v>
      </c>
      <c r="I38" s="36" t="s">
        <v>1201</v>
      </c>
      <c r="J38" s="6" t="s">
        <v>6467</v>
      </c>
      <c r="K38" s="215" t="n">
        <v>1</v>
      </c>
      <c r="L38" s="215" t="s">
        <v>5373</v>
      </c>
      <c r="M38" s="6" t="s">
        <v>6468</v>
      </c>
      <c r="N38" s="215" t="s">
        <v>5884</v>
      </c>
      <c r="O38" s="36" t="s">
        <v>5376</v>
      </c>
      <c r="P38" s="36" t="s">
        <v>587</v>
      </c>
      <c r="Q38" s="36" t="s">
        <v>6469</v>
      </c>
      <c r="R38" s="36" t="s">
        <v>587</v>
      </c>
      <c r="S38" s="36" t="s">
        <v>587</v>
      </c>
      <c r="T38" s="36" t="s">
        <v>587</v>
      </c>
      <c r="U38" s="36" t="s">
        <v>6470</v>
      </c>
      <c r="V38" s="6" t="s">
        <v>6486</v>
      </c>
      <c r="W38" s="6" t="s">
        <v>587</v>
      </c>
      <c r="AC38" s="186" t="n">
        <f aca="false">IF($O38="Active",SUMPRODUCT(($AM$5:$AM$98=$AM38)*1),0)</f>
        <v>1</v>
      </c>
      <c r="AD38" s="186" t="n">
        <f aca="false">IF(AND($O38="Active",OR($Q38="—",$Q38="")),1,0)</f>
        <v>0</v>
      </c>
      <c r="AE38" s="186" t="n">
        <f aca="false">IF(AND($O38="Active",$L38="利害關係方",OR($R38="—",$R38="")),1,0)</f>
        <v>1</v>
      </c>
      <c r="AM38" s="35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6" t="s">
        <v>6487</v>
      </c>
      <c r="B39" s="6" t="s">
        <v>6488</v>
      </c>
      <c r="C39" s="217" t="n">
        <v>3</v>
      </c>
      <c r="D39" s="215"/>
      <c r="E39" s="215"/>
      <c r="F39" s="36" t="s">
        <v>774</v>
      </c>
      <c r="G39" s="36" t="s">
        <v>587</v>
      </c>
      <c r="H39" s="36" t="s">
        <v>1215</v>
      </c>
      <c r="I39" s="36" t="s">
        <v>6416</v>
      </c>
      <c r="J39" s="6" t="s">
        <v>6489</v>
      </c>
      <c r="K39" s="215" t="n">
        <v>2</v>
      </c>
      <c r="L39" s="215" t="s">
        <v>5373</v>
      </c>
      <c r="M39" s="6" t="s">
        <v>6490</v>
      </c>
      <c r="N39" s="215" t="s">
        <v>5386</v>
      </c>
      <c r="O39" s="36" t="s">
        <v>5376</v>
      </c>
      <c r="P39" s="36" t="s">
        <v>587</v>
      </c>
      <c r="Q39" s="36" t="s">
        <v>6491</v>
      </c>
      <c r="R39" s="36" t="s">
        <v>587</v>
      </c>
      <c r="S39" s="36" t="s">
        <v>587</v>
      </c>
      <c r="T39" s="36" t="s">
        <v>587</v>
      </c>
      <c r="U39" s="36" t="s">
        <v>6492</v>
      </c>
      <c r="V39" s="6" t="s">
        <v>6493</v>
      </c>
      <c r="W39" s="6" t="s">
        <v>587</v>
      </c>
      <c r="AC39" s="186" t="n">
        <f aca="false">IF($O39="Active",SUMPRODUCT(($AM$5:$AM$98=$AM39)*1),0)</f>
        <v>1</v>
      </c>
      <c r="AD39" s="186" t="n">
        <f aca="false">IF(AND($O39="Active",OR($Q39="—",$Q39="")),1,0)</f>
        <v>0</v>
      </c>
      <c r="AE39" s="186" t="n">
        <f aca="false">IF(AND($O39="Active",$L39="利害關係方",OR($R39="—",$R39="")),1,0)</f>
        <v>1</v>
      </c>
      <c r="AM39" s="35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6" t="s">
        <v>6494</v>
      </c>
      <c r="B40" s="6" t="s">
        <v>6495</v>
      </c>
      <c r="C40" s="217" t="n">
        <v>0.3</v>
      </c>
      <c r="D40" s="215"/>
      <c r="E40" s="215"/>
      <c r="F40" s="36" t="s">
        <v>774</v>
      </c>
      <c r="G40" s="36" t="s">
        <v>587</v>
      </c>
      <c r="H40" s="36" t="s">
        <v>1215</v>
      </c>
      <c r="I40" s="36" t="s">
        <v>6416</v>
      </c>
      <c r="J40" s="6" t="s">
        <v>6489</v>
      </c>
      <c r="K40" s="215" t="n">
        <v>2</v>
      </c>
      <c r="L40" s="215" t="s">
        <v>5373</v>
      </c>
      <c r="M40" s="6" t="s">
        <v>6490</v>
      </c>
      <c r="N40" s="215" t="s">
        <v>5386</v>
      </c>
      <c r="O40" s="36" t="s">
        <v>5376</v>
      </c>
      <c r="P40" s="36" t="s">
        <v>587</v>
      </c>
      <c r="Q40" s="36" t="s">
        <v>6491</v>
      </c>
      <c r="R40" s="36" t="s">
        <v>587</v>
      </c>
      <c r="S40" s="36" t="s">
        <v>587</v>
      </c>
      <c r="T40" s="36" t="s">
        <v>587</v>
      </c>
      <c r="U40" s="36" t="s">
        <v>6492</v>
      </c>
      <c r="V40" s="6" t="s">
        <v>6496</v>
      </c>
      <c r="W40" s="6" t="s">
        <v>587</v>
      </c>
      <c r="AC40" s="186" t="n">
        <f aca="false">IF($O40="Active",SUMPRODUCT(($AM$5:$AM$98=$AM40)*1),0)</f>
        <v>1</v>
      </c>
      <c r="AD40" s="186" t="n">
        <f aca="false">IF(AND($O40="Active",OR($Q40="—",$Q40="")),1,0)</f>
        <v>0</v>
      </c>
      <c r="AE40" s="186" t="n">
        <f aca="false">IF(AND($O40="Active",$L40="利害關係方",OR($R40="—",$R40="")),1,0)</f>
        <v>1</v>
      </c>
      <c r="AM40" s="35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6" t="s">
        <v>6497</v>
      </c>
      <c r="B41" s="6" t="s">
        <v>6498</v>
      </c>
      <c r="C41" s="217" t="n">
        <v>15</v>
      </c>
      <c r="D41" s="215"/>
      <c r="E41" s="215"/>
      <c r="F41" s="36" t="s">
        <v>774</v>
      </c>
      <c r="G41" s="36" t="s">
        <v>587</v>
      </c>
      <c r="H41" s="36" t="s">
        <v>1215</v>
      </c>
      <c r="I41" s="36" t="s">
        <v>6416</v>
      </c>
      <c r="J41" s="6" t="s">
        <v>6489</v>
      </c>
      <c r="K41" s="215" t="n">
        <v>2</v>
      </c>
      <c r="L41" s="215" t="s">
        <v>5373</v>
      </c>
      <c r="M41" s="6" t="s">
        <v>6490</v>
      </c>
      <c r="N41" s="215" t="s">
        <v>5386</v>
      </c>
      <c r="O41" s="36" t="s">
        <v>5376</v>
      </c>
      <c r="P41" s="36" t="s">
        <v>587</v>
      </c>
      <c r="Q41" s="36" t="s">
        <v>6491</v>
      </c>
      <c r="R41" s="36" t="s">
        <v>587</v>
      </c>
      <c r="S41" s="36" t="s">
        <v>587</v>
      </c>
      <c r="T41" s="36" t="s">
        <v>587</v>
      </c>
      <c r="U41" s="36" t="s">
        <v>6492</v>
      </c>
      <c r="V41" s="6" t="s">
        <v>6499</v>
      </c>
      <c r="W41" s="6" t="s">
        <v>587</v>
      </c>
      <c r="AC41" s="186" t="n">
        <f aca="false">IF($O41="Active",SUMPRODUCT(($AM$5:$AM$98=$AM41)*1),0)</f>
        <v>1</v>
      </c>
      <c r="AD41" s="186" t="n">
        <f aca="false">IF(AND($O41="Active",OR($Q41="—",$Q41="")),1,0)</f>
        <v>0</v>
      </c>
      <c r="AE41" s="186" t="n">
        <f aca="false">IF(AND($O41="Active",$L41="利害關係方",OR($R41="—",$R41="")),1,0)</f>
        <v>1</v>
      </c>
      <c r="AM41" s="35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6" t="s">
        <v>6500</v>
      </c>
      <c r="B42" s="6" t="s">
        <v>6501</v>
      </c>
      <c r="C42" s="217" t="n">
        <v>2</v>
      </c>
      <c r="D42" s="215"/>
      <c r="E42" s="215"/>
      <c r="F42" s="36" t="s">
        <v>774</v>
      </c>
      <c r="G42" s="215" t="s">
        <v>6502</v>
      </c>
      <c r="H42" s="36" t="s">
        <v>1211</v>
      </c>
      <c r="I42" s="36" t="s">
        <v>1189</v>
      </c>
      <c r="J42" s="6" t="s">
        <v>6489</v>
      </c>
      <c r="K42" s="215" t="n">
        <v>2</v>
      </c>
      <c r="L42" s="215" t="s">
        <v>5373</v>
      </c>
      <c r="M42" s="6" t="s">
        <v>6490</v>
      </c>
      <c r="N42" s="215" t="s">
        <v>5386</v>
      </c>
      <c r="O42" s="36" t="s">
        <v>5376</v>
      </c>
      <c r="P42" s="36" t="s">
        <v>587</v>
      </c>
      <c r="Q42" s="36" t="s">
        <v>6491</v>
      </c>
      <c r="R42" s="36" t="s">
        <v>587</v>
      </c>
      <c r="S42" s="36" t="s">
        <v>587</v>
      </c>
      <c r="T42" s="36" t="s">
        <v>587</v>
      </c>
      <c r="U42" s="36" t="s">
        <v>6492</v>
      </c>
      <c r="V42" s="6" t="s">
        <v>6503</v>
      </c>
      <c r="W42" s="6" t="s">
        <v>587</v>
      </c>
      <c r="AC42" s="186" t="n">
        <f aca="false">IF($O42="Active",SUMPRODUCT(($AM$5:$AM$98=$AM42)*1),0)</f>
        <v>1</v>
      </c>
      <c r="AD42" s="186" t="n">
        <f aca="false">IF(AND($O42="Active",OR($Q42="—",$Q42="")),1,0)</f>
        <v>0</v>
      </c>
      <c r="AE42" s="186" t="n">
        <f aca="false">IF(AND($O42="Active",$L42="利害關係方",OR($R42="—",$R42="")),1,0)</f>
        <v>1</v>
      </c>
      <c r="AM42" s="35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6" t="s">
        <v>6504</v>
      </c>
      <c r="B43" s="6" t="s">
        <v>6505</v>
      </c>
      <c r="C43" s="217" t="n">
        <v>0.25</v>
      </c>
      <c r="D43" s="215"/>
      <c r="E43" s="215"/>
      <c r="F43" s="36" t="s">
        <v>774</v>
      </c>
      <c r="G43" s="215" t="s">
        <v>6502</v>
      </c>
      <c r="H43" s="36" t="s">
        <v>1211</v>
      </c>
      <c r="I43" s="36" t="s">
        <v>1189</v>
      </c>
      <c r="J43" s="6" t="s">
        <v>6489</v>
      </c>
      <c r="K43" s="215" t="n">
        <v>2</v>
      </c>
      <c r="L43" s="215" t="s">
        <v>5373</v>
      </c>
      <c r="M43" s="6" t="s">
        <v>6490</v>
      </c>
      <c r="N43" s="215" t="s">
        <v>5386</v>
      </c>
      <c r="O43" s="36" t="s">
        <v>5376</v>
      </c>
      <c r="P43" s="36" t="s">
        <v>587</v>
      </c>
      <c r="Q43" s="36" t="s">
        <v>6491</v>
      </c>
      <c r="R43" s="36" t="s">
        <v>587</v>
      </c>
      <c r="S43" s="36" t="s">
        <v>587</v>
      </c>
      <c r="T43" s="36" t="s">
        <v>587</v>
      </c>
      <c r="U43" s="36" t="s">
        <v>6492</v>
      </c>
      <c r="V43" s="6" t="s">
        <v>6506</v>
      </c>
      <c r="W43" s="6" t="s">
        <v>587</v>
      </c>
      <c r="AC43" s="186" t="n">
        <f aca="false">IF($O43="Active",SUMPRODUCT(($AM$5:$AM$98=$AM43)*1),0)</f>
        <v>1</v>
      </c>
      <c r="AD43" s="186" t="n">
        <f aca="false">IF(AND($O43="Active",OR($Q43="—",$Q43="")),1,0)</f>
        <v>0</v>
      </c>
      <c r="AE43" s="186" t="n">
        <f aca="false">IF(AND($O43="Active",$L43="利害關係方",OR($R43="—",$R43="")),1,0)</f>
        <v>1</v>
      </c>
      <c r="AM43" s="35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6" t="s">
        <v>6507</v>
      </c>
      <c r="B44" s="6" t="s">
        <v>6508</v>
      </c>
      <c r="C44" s="217" t="n">
        <v>6</v>
      </c>
      <c r="D44" s="215"/>
      <c r="E44" s="215"/>
      <c r="F44" s="36" t="s">
        <v>774</v>
      </c>
      <c r="G44" s="215" t="s">
        <v>6502</v>
      </c>
      <c r="H44" s="36" t="s">
        <v>1211</v>
      </c>
      <c r="I44" s="36" t="s">
        <v>1189</v>
      </c>
      <c r="J44" s="6" t="s">
        <v>6489</v>
      </c>
      <c r="K44" s="215" t="n">
        <v>2</v>
      </c>
      <c r="L44" s="215" t="s">
        <v>5373</v>
      </c>
      <c r="M44" s="6" t="s">
        <v>6490</v>
      </c>
      <c r="N44" s="215" t="s">
        <v>5386</v>
      </c>
      <c r="O44" s="36" t="s">
        <v>5376</v>
      </c>
      <c r="P44" s="36" t="s">
        <v>587</v>
      </c>
      <c r="Q44" s="36" t="s">
        <v>6491</v>
      </c>
      <c r="R44" s="36" t="s">
        <v>587</v>
      </c>
      <c r="S44" s="36" t="s">
        <v>587</v>
      </c>
      <c r="T44" s="36" t="s">
        <v>587</v>
      </c>
      <c r="U44" s="36" t="s">
        <v>6492</v>
      </c>
      <c r="V44" s="6" t="s">
        <v>6509</v>
      </c>
      <c r="W44" s="6" t="s">
        <v>587</v>
      </c>
      <c r="AC44" s="186" t="n">
        <f aca="false">IF($O44="Active",SUMPRODUCT(($AM$5:$AM$98=$AM44)*1),0)</f>
        <v>1</v>
      </c>
      <c r="AD44" s="186" t="n">
        <f aca="false">IF(AND($O44="Active",OR($Q44="—",$Q44="")),1,0)</f>
        <v>0</v>
      </c>
      <c r="AE44" s="186" t="n">
        <f aca="false">IF(AND($O44="Active",$L44="利害關係方",OR($R44="—",$R44="")),1,0)</f>
        <v>1</v>
      </c>
      <c r="AM44" s="35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6" t="s">
        <v>6510</v>
      </c>
      <c r="B45" s="6" t="s">
        <v>6511</v>
      </c>
      <c r="C45" s="217" t="n">
        <v>2.5</v>
      </c>
      <c r="D45" s="215"/>
      <c r="E45" s="215"/>
      <c r="F45" s="36" t="s">
        <v>774</v>
      </c>
      <c r="G45" s="215" t="s">
        <v>6512</v>
      </c>
      <c r="H45" s="36" t="s">
        <v>1211</v>
      </c>
      <c r="I45" s="36" t="s">
        <v>1189</v>
      </c>
      <c r="J45" s="6" t="s">
        <v>6489</v>
      </c>
      <c r="K45" s="215" t="n">
        <v>2</v>
      </c>
      <c r="L45" s="215" t="s">
        <v>5373</v>
      </c>
      <c r="M45" s="6" t="s">
        <v>6490</v>
      </c>
      <c r="N45" s="215" t="s">
        <v>5386</v>
      </c>
      <c r="O45" s="36" t="s">
        <v>5425</v>
      </c>
      <c r="P45" s="36" t="s">
        <v>587</v>
      </c>
      <c r="Q45" s="36" t="s">
        <v>6491</v>
      </c>
      <c r="R45" s="36" t="s">
        <v>587</v>
      </c>
      <c r="S45" s="36" t="s">
        <v>587</v>
      </c>
      <c r="T45" s="36" t="s">
        <v>587</v>
      </c>
      <c r="U45" s="36" t="s">
        <v>6492</v>
      </c>
      <c r="V45" s="6" t="s">
        <v>587</v>
      </c>
      <c r="W45" s="19" t="s">
        <v>6513</v>
      </c>
      <c r="AC45" s="186" t="n">
        <f aca="false">IF($O45="Active",SUMPRODUCT(($AM$5:$AM$98=$AM45)*1),0)</f>
        <v>0</v>
      </c>
      <c r="AD45" s="186" t="n">
        <f aca="false">IF(AND($O45="Active",OR($Q45="—",$Q45="")),1,0)</f>
        <v>0</v>
      </c>
      <c r="AE45" s="186" t="n">
        <f aca="false">IF(AND($O45="Active",$L45="利害關係方",OR($R45="—",$R45="")),1,0)</f>
        <v>0</v>
      </c>
      <c r="AM45" s="35" t="str">
        <f aca="false">IF($O45="Active",$B45&amp;"¦"&amp;$G45&amp;"¦"&amp;$H45,"")</f>
        <v/>
      </c>
    </row>
    <row r="46" customFormat="false" ht="29.25" hidden="false" customHeight="true" outlineLevel="0" collapsed="false">
      <c r="A46" s="36" t="s">
        <v>6514</v>
      </c>
      <c r="B46" s="6" t="s">
        <v>6515</v>
      </c>
      <c r="C46" s="217" t="n">
        <v>7.5</v>
      </c>
      <c r="D46" s="215"/>
      <c r="E46" s="215"/>
      <c r="F46" s="36" t="s">
        <v>774</v>
      </c>
      <c r="G46" s="215" t="s">
        <v>6512</v>
      </c>
      <c r="H46" s="36" t="s">
        <v>1211</v>
      </c>
      <c r="I46" s="36" t="s">
        <v>1189</v>
      </c>
      <c r="J46" s="6" t="s">
        <v>6489</v>
      </c>
      <c r="K46" s="215" t="n">
        <v>2</v>
      </c>
      <c r="L46" s="215" t="s">
        <v>5373</v>
      </c>
      <c r="M46" s="6" t="s">
        <v>6490</v>
      </c>
      <c r="N46" s="215" t="s">
        <v>5386</v>
      </c>
      <c r="O46" s="36" t="s">
        <v>5425</v>
      </c>
      <c r="P46" s="36" t="s">
        <v>587</v>
      </c>
      <c r="Q46" s="36" t="s">
        <v>6491</v>
      </c>
      <c r="R46" s="36" t="s">
        <v>587</v>
      </c>
      <c r="S46" s="36" t="s">
        <v>587</v>
      </c>
      <c r="T46" s="36" t="s">
        <v>587</v>
      </c>
      <c r="U46" s="36" t="s">
        <v>6492</v>
      </c>
      <c r="V46" s="6" t="s">
        <v>587</v>
      </c>
      <c r="W46" s="19" t="s">
        <v>6513</v>
      </c>
      <c r="AC46" s="186" t="n">
        <f aca="false">IF($O46="Active",SUMPRODUCT(($AM$5:$AM$98=$AM46)*1),0)</f>
        <v>0</v>
      </c>
      <c r="AD46" s="186" t="n">
        <f aca="false">IF(AND($O46="Active",OR($Q46="—",$Q46="")),1,0)</f>
        <v>0</v>
      </c>
      <c r="AE46" s="186" t="n">
        <f aca="false">IF(AND($O46="Active",$L46="利害關係方",OR($R46="—",$R46="")),1,0)</f>
        <v>0</v>
      </c>
      <c r="AM46" s="35" t="str">
        <f aca="false">IF($O46="Active",$B46&amp;"¦"&amp;$G46&amp;"¦"&amp;$H46,"")</f>
        <v/>
      </c>
    </row>
    <row r="47" customFormat="false" ht="29.25" hidden="false" customHeight="true" outlineLevel="0" collapsed="false">
      <c r="A47" s="36" t="s">
        <v>6516</v>
      </c>
      <c r="B47" s="6" t="s">
        <v>6517</v>
      </c>
      <c r="C47" s="217" t="n">
        <v>0.3</v>
      </c>
      <c r="D47" s="215"/>
      <c r="E47" s="215"/>
      <c r="F47" s="36" t="s">
        <v>774</v>
      </c>
      <c r="G47" s="36" t="s">
        <v>6518</v>
      </c>
      <c r="H47" s="36" t="s">
        <v>1220</v>
      </c>
      <c r="I47" s="36" t="s">
        <v>1192</v>
      </c>
      <c r="J47" s="6" t="s">
        <v>6489</v>
      </c>
      <c r="K47" s="215" t="n">
        <v>2</v>
      </c>
      <c r="L47" s="215" t="s">
        <v>5373</v>
      </c>
      <c r="M47" s="6" t="s">
        <v>6490</v>
      </c>
      <c r="N47" s="215" t="s">
        <v>5386</v>
      </c>
      <c r="O47" s="36" t="s">
        <v>5376</v>
      </c>
      <c r="P47" s="36" t="s">
        <v>587</v>
      </c>
      <c r="Q47" s="36" t="s">
        <v>6491</v>
      </c>
      <c r="R47" s="36" t="s">
        <v>587</v>
      </c>
      <c r="S47" s="36" t="s">
        <v>587</v>
      </c>
      <c r="T47" s="36" t="s">
        <v>587</v>
      </c>
      <c r="U47" s="36" t="s">
        <v>6492</v>
      </c>
      <c r="V47" s="6" t="s">
        <v>6519</v>
      </c>
      <c r="W47" s="6" t="s">
        <v>587</v>
      </c>
      <c r="AC47" s="186" t="n">
        <f aca="false">IF($O47="Active",SUMPRODUCT(($AM$5:$AM$98=$AM47)*1),0)</f>
        <v>1</v>
      </c>
      <c r="AD47" s="186" t="n">
        <f aca="false">IF(AND($O47="Active",OR($Q47="—",$Q47="")),1,0)</f>
        <v>0</v>
      </c>
      <c r="AE47" s="186" t="n">
        <f aca="false">IF(AND($O47="Active",$L47="利害關係方",OR($R47="—",$R47="")),1,0)</f>
        <v>1</v>
      </c>
      <c r="AM47" s="35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6" t="s">
        <v>6520</v>
      </c>
      <c r="B48" s="6" t="s">
        <v>6521</v>
      </c>
      <c r="C48" s="217" t="n">
        <v>1.2</v>
      </c>
      <c r="D48" s="215"/>
      <c r="E48" s="215"/>
      <c r="F48" s="36" t="s">
        <v>774</v>
      </c>
      <c r="G48" s="36" t="s">
        <v>6518</v>
      </c>
      <c r="H48" s="36" t="s">
        <v>1220</v>
      </c>
      <c r="I48" s="36" t="s">
        <v>1192</v>
      </c>
      <c r="J48" s="6" t="s">
        <v>6489</v>
      </c>
      <c r="K48" s="215" t="n">
        <v>2</v>
      </c>
      <c r="L48" s="215" t="s">
        <v>5373</v>
      </c>
      <c r="M48" s="6" t="s">
        <v>6490</v>
      </c>
      <c r="N48" s="215" t="s">
        <v>5386</v>
      </c>
      <c r="O48" s="36" t="s">
        <v>5376</v>
      </c>
      <c r="P48" s="36" t="s">
        <v>587</v>
      </c>
      <c r="Q48" s="36" t="s">
        <v>6491</v>
      </c>
      <c r="R48" s="36" t="s">
        <v>587</v>
      </c>
      <c r="S48" s="36" t="s">
        <v>587</v>
      </c>
      <c r="T48" s="36" t="s">
        <v>587</v>
      </c>
      <c r="U48" s="36" t="s">
        <v>6492</v>
      </c>
      <c r="V48" s="6" t="s">
        <v>6522</v>
      </c>
      <c r="W48" s="6" t="s">
        <v>587</v>
      </c>
      <c r="AC48" s="186" t="n">
        <f aca="false">IF($O48="Active",SUMPRODUCT(($AM$5:$AM$98=$AM48)*1),0)</f>
        <v>1</v>
      </c>
      <c r="AD48" s="186" t="n">
        <f aca="false">IF(AND($O48="Active",OR($Q48="—",$Q48="")),1,0)</f>
        <v>0</v>
      </c>
      <c r="AE48" s="186" t="n">
        <f aca="false">IF(AND($O48="Active",$L48="利害關係方",OR($R48="—",$R48="")),1,0)</f>
        <v>1</v>
      </c>
      <c r="AM48" s="35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3" t="s">
        <v>6523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5348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214" t="s">
        <v>5363</v>
      </c>
      <c r="Y4" s="214" t="s">
        <v>5364</v>
      </c>
      <c r="Z4" s="214" t="s">
        <v>5365</v>
      </c>
      <c r="AH4" s="76" t="s">
        <v>5366</v>
      </c>
    </row>
    <row r="5" customFormat="false" ht="29.25" hidden="false" customHeight="true" outlineLevel="0" collapsed="false">
      <c r="A5" s="36" t="s">
        <v>6524</v>
      </c>
      <c r="B5" s="6" t="s">
        <v>6525</v>
      </c>
      <c r="C5" s="217" t="n">
        <v>53</v>
      </c>
      <c r="D5" s="215"/>
      <c r="E5" s="215"/>
      <c r="F5" s="215" t="s">
        <v>1237</v>
      </c>
      <c r="G5" s="36" t="s">
        <v>1185</v>
      </c>
      <c r="H5" s="36" t="s">
        <v>1184</v>
      </c>
      <c r="I5" s="36" t="s">
        <v>1189</v>
      </c>
      <c r="J5" s="6" t="s">
        <v>6526</v>
      </c>
      <c r="K5" s="215" t="n">
        <v>2</v>
      </c>
      <c r="L5" s="215" t="s">
        <v>5477</v>
      </c>
      <c r="M5" s="6" t="s">
        <v>6527</v>
      </c>
      <c r="N5" s="215" t="s">
        <v>5386</v>
      </c>
      <c r="O5" s="36" t="s">
        <v>5376</v>
      </c>
      <c r="P5" s="36" t="s">
        <v>587</v>
      </c>
      <c r="Q5" s="36" t="s">
        <v>6528</v>
      </c>
      <c r="R5" s="36" t="s">
        <v>587</v>
      </c>
      <c r="S5" s="36" t="s">
        <v>587</v>
      </c>
      <c r="T5" s="36" t="s">
        <v>587</v>
      </c>
      <c r="U5" s="36" t="s">
        <v>6529</v>
      </c>
      <c r="V5" s="6" t="s">
        <v>6530</v>
      </c>
      <c r="W5" s="6" t="s">
        <v>587</v>
      </c>
      <c r="X5" s="186" t="n">
        <f aca="false">IF($O5="Active",SUMPRODUCT(($AH$5:$AH$75=$AH5)*1),0)</f>
        <v>1</v>
      </c>
      <c r="Y5" s="186" t="n">
        <f aca="false">IF(AND($O5="Active",OR($Q5="—",$Q5="")),1,0)</f>
        <v>0</v>
      </c>
      <c r="Z5" s="186" t="n">
        <f aca="false">IF(AND($O5="Active",$L5="利害關係方",OR($R5="—",$R5="")),1,0)</f>
        <v>0</v>
      </c>
      <c r="AH5" s="35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6" t="s">
        <v>6531</v>
      </c>
      <c r="B6" s="6" t="s">
        <v>6532</v>
      </c>
      <c r="C6" s="217" t="n">
        <v>53</v>
      </c>
      <c r="D6" s="215"/>
      <c r="E6" s="215"/>
      <c r="F6" s="215" t="s">
        <v>1237</v>
      </c>
      <c r="G6" s="36" t="s">
        <v>1185</v>
      </c>
      <c r="H6" s="36" t="s">
        <v>1187</v>
      </c>
      <c r="I6" s="36" t="s">
        <v>1189</v>
      </c>
      <c r="J6" s="6" t="s">
        <v>6526</v>
      </c>
      <c r="K6" s="215" t="n">
        <v>2</v>
      </c>
      <c r="L6" s="215" t="s">
        <v>5477</v>
      </c>
      <c r="M6" s="6" t="s">
        <v>6527</v>
      </c>
      <c r="N6" s="215" t="s">
        <v>5386</v>
      </c>
      <c r="O6" s="36" t="s">
        <v>5376</v>
      </c>
      <c r="P6" s="36" t="s">
        <v>587</v>
      </c>
      <c r="Q6" s="36" t="s">
        <v>6528</v>
      </c>
      <c r="R6" s="36" t="s">
        <v>587</v>
      </c>
      <c r="S6" s="36" t="s">
        <v>587</v>
      </c>
      <c r="T6" s="36" t="s">
        <v>587</v>
      </c>
      <c r="U6" s="36" t="s">
        <v>6529</v>
      </c>
      <c r="V6" s="6" t="s">
        <v>6533</v>
      </c>
      <c r="W6" s="6" t="s">
        <v>587</v>
      </c>
      <c r="X6" s="186" t="n">
        <f aca="false">IF($O6="Active",SUMPRODUCT(($AH$5:$AH$75=$AH6)*1),0)</f>
        <v>1</v>
      </c>
      <c r="Y6" s="186" t="n">
        <f aca="false">IF(AND($O6="Active",OR($Q6="—",$Q6="")),1,0)</f>
        <v>0</v>
      </c>
      <c r="Z6" s="186" t="n">
        <f aca="false">IF(AND($O6="Active",$L6="利害關係方",OR($R6="—",$R6="")),1,0)</f>
        <v>0</v>
      </c>
      <c r="AH6" s="35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6" t="s">
        <v>6534</v>
      </c>
      <c r="B7" s="6" t="s">
        <v>6535</v>
      </c>
      <c r="C7" s="217" t="n">
        <v>51</v>
      </c>
      <c r="D7" s="215"/>
      <c r="E7" s="215"/>
      <c r="F7" s="215" t="s">
        <v>1237</v>
      </c>
      <c r="G7" s="36" t="s">
        <v>1185</v>
      </c>
      <c r="H7" s="36" t="s">
        <v>1191</v>
      </c>
      <c r="I7" s="36" t="s">
        <v>1189</v>
      </c>
      <c r="J7" s="6" t="s">
        <v>6526</v>
      </c>
      <c r="K7" s="215" t="n">
        <v>2</v>
      </c>
      <c r="L7" s="215" t="s">
        <v>5477</v>
      </c>
      <c r="M7" s="6" t="s">
        <v>6527</v>
      </c>
      <c r="N7" s="215" t="s">
        <v>5386</v>
      </c>
      <c r="O7" s="36" t="s">
        <v>5376</v>
      </c>
      <c r="P7" s="36" t="s">
        <v>587</v>
      </c>
      <c r="Q7" s="36" t="s">
        <v>6528</v>
      </c>
      <c r="R7" s="36" t="s">
        <v>587</v>
      </c>
      <c r="S7" s="36" t="s">
        <v>587</v>
      </c>
      <c r="T7" s="36" t="s">
        <v>587</v>
      </c>
      <c r="U7" s="36" t="s">
        <v>6529</v>
      </c>
      <c r="V7" s="6" t="s">
        <v>6536</v>
      </c>
      <c r="W7" s="6" t="s">
        <v>587</v>
      </c>
      <c r="X7" s="186" t="n">
        <f aca="false">IF($O7="Active",SUMPRODUCT(($AH$5:$AH$75=$AH7)*1),0)</f>
        <v>1</v>
      </c>
      <c r="Y7" s="186" t="n">
        <f aca="false">IF(AND($O7="Active",OR($Q7="—",$Q7="")),1,0)</f>
        <v>0</v>
      </c>
      <c r="Z7" s="186" t="n">
        <f aca="false">IF(AND($O7="Active",$L7="利害關係方",OR($R7="—",$R7="")),1,0)</f>
        <v>0</v>
      </c>
      <c r="AH7" s="35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6" t="s">
        <v>6537</v>
      </c>
      <c r="B8" s="6" t="s">
        <v>6538</v>
      </c>
      <c r="C8" s="217" t="n">
        <v>47</v>
      </c>
      <c r="D8" s="215"/>
      <c r="E8" s="215"/>
      <c r="F8" s="215" t="s">
        <v>1237</v>
      </c>
      <c r="G8" s="36" t="s">
        <v>1185</v>
      </c>
      <c r="H8" s="36" t="s">
        <v>6153</v>
      </c>
      <c r="I8" s="36" t="s">
        <v>1189</v>
      </c>
      <c r="J8" s="6" t="s">
        <v>6526</v>
      </c>
      <c r="K8" s="215" t="n">
        <v>2</v>
      </c>
      <c r="L8" s="215" t="s">
        <v>5477</v>
      </c>
      <c r="M8" s="6" t="s">
        <v>6527</v>
      </c>
      <c r="N8" s="215" t="s">
        <v>5386</v>
      </c>
      <c r="O8" s="36" t="s">
        <v>5376</v>
      </c>
      <c r="P8" s="36" t="s">
        <v>587</v>
      </c>
      <c r="Q8" s="36" t="s">
        <v>6528</v>
      </c>
      <c r="R8" s="36" t="s">
        <v>587</v>
      </c>
      <c r="S8" s="36" t="s">
        <v>587</v>
      </c>
      <c r="T8" s="36" t="s">
        <v>587</v>
      </c>
      <c r="U8" s="36" t="s">
        <v>6529</v>
      </c>
      <c r="V8" s="6" t="s">
        <v>587</v>
      </c>
      <c r="W8" s="6" t="s">
        <v>587</v>
      </c>
      <c r="X8" s="186" t="n">
        <f aca="false">IF($O8="Active",SUMPRODUCT(($AH$5:$AH$75=$AH8)*1),0)</f>
        <v>1</v>
      </c>
      <c r="Y8" s="186" t="n">
        <f aca="false">IF(AND($O8="Active",OR($Q8="—",$Q8="")),1,0)</f>
        <v>0</v>
      </c>
      <c r="Z8" s="186" t="n">
        <f aca="false">IF(AND($O8="Active",$L8="利害關係方",OR($R8="—",$R8="")),1,0)</f>
        <v>0</v>
      </c>
      <c r="AH8" s="35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6" t="s">
        <v>6539</v>
      </c>
      <c r="B9" s="6" t="s">
        <v>6540</v>
      </c>
      <c r="C9" s="217" t="n">
        <v>42</v>
      </c>
      <c r="D9" s="215"/>
      <c r="E9" s="215"/>
      <c r="F9" s="215" t="s">
        <v>1237</v>
      </c>
      <c r="G9" s="36" t="s">
        <v>1185</v>
      </c>
      <c r="H9" s="36" t="s">
        <v>1209</v>
      </c>
      <c r="I9" s="36" t="s">
        <v>1189</v>
      </c>
      <c r="J9" s="6" t="s">
        <v>6526</v>
      </c>
      <c r="K9" s="215" t="n">
        <v>2</v>
      </c>
      <c r="L9" s="215" t="s">
        <v>5477</v>
      </c>
      <c r="M9" s="6" t="s">
        <v>6527</v>
      </c>
      <c r="N9" s="215" t="s">
        <v>5386</v>
      </c>
      <c r="O9" s="36" t="s">
        <v>5376</v>
      </c>
      <c r="P9" s="36" t="s">
        <v>587</v>
      </c>
      <c r="Q9" s="36" t="s">
        <v>6528</v>
      </c>
      <c r="R9" s="36" t="s">
        <v>587</v>
      </c>
      <c r="S9" s="36" t="s">
        <v>587</v>
      </c>
      <c r="T9" s="36" t="s">
        <v>587</v>
      </c>
      <c r="U9" s="36" t="s">
        <v>6529</v>
      </c>
      <c r="V9" s="6" t="s">
        <v>6541</v>
      </c>
      <c r="W9" s="6" t="s">
        <v>587</v>
      </c>
      <c r="X9" s="186" t="n">
        <f aca="false">IF($O9="Active",SUMPRODUCT(($AH$5:$AH$75=$AH9)*1),0)</f>
        <v>1</v>
      </c>
      <c r="Y9" s="186" t="n">
        <f aca="false">IF(AND($O9="Active",OR($Q9="—",$Q9="")),1,0)</f>
        <v>0</v>
      </c>
      <c r="Z9" s="186" t="n">
        <f aca="false">IF(AND($O9="Active",$L9="利害關係方",OR($R9="—",$R9="")),1,0)</f>
        <v>0</v>
      </c>
      <c r="AH9" s="35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6" t="s">
        <v>4382</v>
      </c>
      <c r="B10" s="6" t="s">
        <v>6542</v>
      </c>
      <c r="C10" s="217" t="n">
        <v>40</v>
      </c>
      <c r="D10" s="215"/>
      <c r="E10" s="215"/>
      <c r="F10" s="215" t="s">
        <v>1237</v>
      </c>
      <c r="G10" s="36" t="s">
        <v>1185</v>
      </c>
      <c r="H10" s="36" t="s">
        <v>6543</v>
      </c>
      <c r="I10" s="36" t="s">
        <v>1189</v>
      </c>
      <c r="J10" s="6" t="s">
        <v>6526</v>
      </c>
      <c r="K10" s="215" t="n">
        <v>2</v>
      </c>
      <c r="L10" s="215" t="s">
        <v>5477</v>
      </c>
      <c r="M10" s="6" t="s">
        <v>6527</v>
      </c>
      <c r="N10" s="215" t="s">
        <v>5386</v>
      </c>
      <c r="O10" s="36" t="s">
        <v>5376</v>
      </c>
      <c r="P10" s="36" t="s">
        <v>587</v>
      </c>
      <c r="Q10" s="36" t="s">
        <v>6528</v>
      </c>
      <c r="R10" s="36" t="s">
        <v>587</v>
      </c>
      <c r="S10" s="36" t="s">
        <v>587</v>
      </c>
      <c r="T10" s="36" t="s">
        <v>587</v>
      </c>
      <c r="U10" s="36" t="s">
        <v>6529</v>
      </c>
      <c r="V10" s="6" t="s">
        <v>6544</v>
      </c>
      <c r="W10" s="19" t="s">
        <v>6545</v>
      </c>
      <c r="X10" s="186" t="n">
        <f aca="false">IF($O10="Active",SUMPRODUCT(($AH$5:$AH$75=$AH10)*1),0)</f>
        <v>1</v>
      </c>
      <c r="Y10" s="186" t="n">
        <f aca="false">IF(AND($O10="Active",OR($Q10="—",$Q10="")),1,0)</f>
        <v>0</v>
      </c>
      <c r="Z10" s="186" t="n">
        <f aca="false">IF(AND($O10="Active",$L10="利害關係方",OR($R10="—",$R10="")),1,0)</f>
        <v>0</v>
      </c>
      <c r="AH10" s="35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6" t="s">
        <v>4375</v>
      </c>
      <c r="B11" s="6" t="s">
        <v>6546</v>
      </c>
      <c r="C11" s="217" t="n">
        <v>36</v>
      </c>
      <c r="D11" s="215"/>
      <c r="E11" s="215"/>
      <c r="F11" s="215" t="s">
        <v>1237</v>
      </c>
      <c r="G11" s="36" t="s">
        <v>1185</v>
      </c>
      <c r="H11" s="36" t="s">
        <v>6547</v>
      </c>
      <c r="I11" s="36" t="s">
        <v>1189</v>
      </c>
      <c r="J11" s="6" t="s">
        <v>6526</v>
      </c>
      <c r="K11" s="215" t="n">
        <v>2</v>
      </c>
      <c r="L11" s="215" t="s">
        <v>5477</v>
      </c>
      <c r="M11" s="6" t="s">
        <v>6527</v>
      </c>
      <c r="N11" s="215" t="s">
        <v>5386</v>
      </c>
      <c r="O11" s="36" t="s">
        <v>5376</v>
      </c>
      <c r="P11" s="36" t="s">
        <v>587</v>
      </c>
      <c r="Q11" s="36" t="s">
        <v>6528</v>
      </c>
      <c r="R11" s="36" t="s">
        <v>587</v>
      </c>
      <c r="S11" s="36" t="s">
        <v>587</v>
      </c>
      <c r="T11" s="36" t="s">
        <v>587</v>
      </c>
      <c r="U11" s="36" t="s">
        <v>6529</v>
      </c>
      <c r="V11" s="6" t="s">
        <v>6548</v>
      </c>
      <c r="W11" s="19" t="s">
        <v>6549</v>
      </c>
      <c r="X11" s="186" t="n">
        <f aca="false">IF($O11="Active",SUMPRODUCT(($AH$5:$AH$75=$AH11)*1),0)</f>
        <v>1</v>
      </c>
      <c r="Y11" s="186" t="n">
        <f aca="false">IF(AND($O11="Active",OR($Q11="—",$Q11="")),1,0)</f>
        <v>0</v>
      </c>
      <c r="Z11" s="186" t="n">
        <f aca="false">IF(AND($O11="Active",$L11="利害關係方",OR($R11="—",$R11="")),1,0)</f>
        <v>0</v>
      </c>
      <c r="AH11" s="35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6" t="s">
        <v>6550</v>
      </c>
      <c r="B12" s="6" t="s">
        <v>6551</v>
      </c>
      <c r="C12" s="217" t="n">
        <v>48</v>
      </c>
      <c r="D12" s="215"/>
      <c r="E12" s="215"/>
      <c r="F12" s="215" t="s">
        <v>1237</v>
      </c>
      <c r="G12" s="36" t="s">
        <v>1179</v>
      </c>
      <c r="H12" s="36" t="s">
        <v>1182</v>
      </c>
      <c r="I12" s="36" t="s">
        <v>1189</v>
      </c>
      <c r="J12" s="6" t="s">
        <v>6552</v>
      </c>
      <c r="K12" s="215" t="n">
        <v>1</v>
      </c>
      <c r="L12" s="215" t="s">
        <v>5477</v>
      </c>
      <c r="M12" s="6" t="s">
        <v>6553</v>
      </c>
      <c r="N12" s="215" t="s">
        <v>5375</v>
      </c>
      <c r="O12" s="36" t="s">
        <v>5376</v>
      </c>
      <c r="P12" s="36" t="s">
        <v>587</v>
      </c>
      <c r="Q12" s="36" t="s">
        <v>6554</v>
      </c>
      <c r="R12" s="36" t="s">
        <v>587</v>
      </c>
      <c r="S12" s="36" t="s">
        <v>5154</v>
      </c>
      <c r="T12" s="36" t="s">
        <v>587</v>
      </c>
      <c r="U12" s="36" t="s">
        <v>6555</v>
      </c>
      <c r="V12" s="6" t="s">
        <v>6556</v>
      </c>
      <c r="W12" s="19" t="s">
        <v>6557</v>
      </c>
      <c r="X12" s="186" t="n">
        <f aca="false">IF($O12="Active",SUMPRODUCT(($AH$5:$AH$75=$AH12)*1),0)</f>
        <v>1</v>
      </c>
      <c r="Y12" s="186" t="n">
        <f aca="false">IF(AND($O12="Active",OR($Q12="—",$Q12="")),1,0)</f>
        <v>0</v>
      </c>
      <c r="Z12" s="186" t="n">
        <f aca="false">IF(AND($O12="Active",$L12="利害關係方",OR($R12="—",$R12="")),1,0)</f>
        <v>0</v>
      </c>
      <c r="AH12" s="35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6" t="s">
        <v>6558</v>
      </c>
      <c r="B13" s="6" t="s">
        <v>6559</v>
      </c>
      <c r="C13" s="217" t="n">
        <v>37</v>
      </c>
      <c r="D13" s="215"/>
      <c r="E13" s="215"/>
      <c r="F13" s="215" t="s">
        <v>1237</v>
      </c>
      <c r="G13" s="36" t="s">
        <v>1179</v>
      </c>
      <c r="H13" s="36" t="s">
        <v>1176</v>
      </c>
      <c r="I13" s="36" t="s">
        <v>1189</v>
      </c>
      <c r="J13" s="6" t="s">
        <v>6552</v>
      </c>
      <c r="K13" s="215" t="n">
        <v>3</v>
      </c>
      <c r="L13" s="215" t="s">
        <v>5477</v>
      </c>
      <c r="M13" s="6" t="s">
        <v>6553</v>
      </c>
      <c r="N13" s="215" t="s">
        <v>6116</v>
      </c>
      <c r="O13" s="36" t="s">
        <v>5376</v>
      </c>
      <c r="P13" s="36" t="s">
        <v>587</v>
      </c>
      <c r="Q13" s="36" t="s">
        <v>6560</v>
      </c>
      <c r="R13" s="36" t="s">
        <v>587</v>
      </c>
      <c r="S13" s="36" t="s">
        <v>587</v>
      </c>
      <c r="T13" s="36" t="s">
        <v>587</v>
      </c>
      <c r="U13" s="36" t="s">
        <v>6555</v>
      </c>
      <c r="V13" s="6" t="s">
        <v>6561</v>
      </c>
      <c r="W13" s="6" t="s">
        <v>587</v>
      </c>
      <c r="X13" s="186" t="n">
        <f aca="false">IF($O13="Active",SUMPRODUCT(($AH$5:$AH$75=$AH13)*1),0)</f>
        <v>1</v>
      </c>
      <c r="Y13" s="186" t="n">
        <f aca="false">IF(AND($O13="Active",OR($Q13="—",$Q13="")),1,0)</f>
        <v>0</v>
      </c>
      <c r="Z13" s="186" t="n">
        <f aca="false">IF(AND($O13="Active",$L13="利害關係方",OR($R13="—",$R13="")),1,0)</f>
        <v>0</v>
      </c>
      <c r="AH13" s="35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6" t="s">
        <v>6562</v>
      </c>
      <c r="B14" s="6" t="s">
        <v>6563</v>
      </c>
      <c r="C14" s="217" t="n">
        <v>39</v>
      </c>
      <c r="D14" s="215"/>
      <c r="E14" s="215"/>
      <c r="F14" s="215" t="s">
        <v>1237</v>
      </c>
      <c r="G14" s="36" t="s">
        <v>1179</v>
      </c>
      <c r="H14" s="36" t="s">
        <v>1198</v>
      </c>
      <c r="I14" s="36" t="s">
        <v>1189</v>
      </c>
      <c r="J14" s="6" t="s">
        <v>6552</v>
      </c>
      <c r="K14" s="215" t="n">
        <v>3</v>
      </c>
      <c r="L14" s="215" t="s">
        <v>5477</v>
      </c>
      <c r="M14" s="6" t="s">
        <v>6553</v>
      </c>
      <c r="N14" s="215" t="s">
        <v>6116</v>
      </c>
      <c r="O14" s="36" t="s">
        <v>5376</v>
      </c>
      <c r="P14" s="36" t="s">
        <v>587</v>
      </c>
      <c r="Q14" s="36" t="s">
        <v>6560</v>
      </c>
      <c r="R14" s="36" t="s">
        <v>587</v>
      </c>
      <c r="S14" s="36" t="s">
        <v>587</v>
      </c>
      <c r="T14" s="36" t="s">
        <v>587</v>
      </c>
      <c r="U14" s="36" t="s">
        <v>6555</v>
      </c>
      <c r="V14" s="6" t="s">
        <v>6564</v>
      </c>
      <c r="W14" s="6" t="s">
        <v>587</v>
      </c>
      <c r="X14" s="186" t="n">
        <f aca="false">IF($O14="Active",SUMPRODUCT(($AH$5:$AH$75=$AH14)*1),0)</f>
        <v>1</v>
      </c>
      <c r="Y14" s="186" t="n">
        <f aca="false">IF(AND($O14="Active",OR($Q14="—",$Q14="")),1,0)</f>
        <v>0</v>
      </c>
      <c r="Z14" s="186" t="n">
        <f aca="false">IF(AND($O14="Active",$L14="利害關係方",OR($R14="—",$R14="")),1,0)</f>
        <v>0</v>
      </c>
      <c r="AH14" s="35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6" t="s">
        <v>6565</v>
      </c>
      <c r="B15" s="6" t="s">
        <v>6566</v>
      </c>
      <c r="C15" s="217" t="n">
        <v>45</v>
      </c>
      <c r="D15" s="215"/>
      <c r="E15" s="215"/>
      <c r="F15" s="215" t="s">
        <v>1237</v>
      </c>
      <c r="G15" s="36" t="s">
        <v>6567</v>
      </c>
      <c r="H15" s="36" t="s">
        <v>1205</v>
      </c>
      <c r="I15" s="36" t="s">
        <v>1189</v>
      </c>
      <c r="J15" s="6" t="s">
        <v>6552</v>
      </c>
      <c r="K15" s="215" t="n">
        <v>1</v>
      </c>
      <c r="L15" s="215" t="s">
        <v>5477</v>
      </c>
      <c r="M15" s="6" t="s">
        <v>6553</v>
      </c>
      <c r="N15" s="215" t="s">
        <v>5375</v>
      </c>
      <c r="O15" s="36" t="s">
        <v>5376</v>
      </c>
      <c r="P15" s="36" t="s">
        <v>587</v>
      </c>
      <c r="Q15" s="36" t="s">
        <v>6568</v>
      </c>
      <c r="R15" s="36" t="s">
        <v>587</v>
      </c>
      <c r="S15" s="36" t="s">
        <v>5154</v>
      </c>
      <c r="T15" s="36" t="s">
        <v>587</v>
      </c>
      <c r="U15" s="36" t="s">
        <v>6555</v>
      </c>
      <c r="V15" s="6" t="s">
        <v>6569</v>
      </c>
      <c r="W15" s="6" t="s">
        <v>6570</v>
      </c>
      <c r="X15" s="186" t="n">
        <f aca="false">IF($O15="Active",SUMPRODUCT(($AH$5:$AH$75=$AH15)*1),0)</f>
        <v>1</v>
      </c>
      <c r="Y15" s="186" t="n">
        <f aca="false">IF(AND($O15="Active",OR($Q15="—",$Q15="")),1,0)</f>
        <v>0</v>
      </c>
      <c r="Z15" s="186" t="n">
        <f aca="false">IF(AND($O15="Active",$L15="利害關係方",OR($R15="—",$R15="")),1,0)</f>
        <v>0</v>
      </c>
      <c r="AH15" s="35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6" t="s">
        <v>4489</v>
      </c>
      <c r="B16" s="6" t="s">
        <v>6571</v>
      </c>
      <c r="C16" s="217" t="n">
        <v>3.5667</v>
      </c>
      <c r="D16" s="215"/>
      <c r="E16" s="215"/>
      <c r="F16" s="215" t="s">
        <v>6572</v>
      </c>
      <c r="G16" s="36" t="s">
        <v>6573</v>
      </c>
      <c r="H16" s="36" t="s">
        <v>1545</v>
      </c>
      <c r="I16" s="36" t="s">
        <v>5383</v>
      </c>
      <c r="J16" s="6" t="s">
        <v>6574</v>
      </c>
      <c r="K16" s="215" t="n">
        <v>2</v>
      </c>
      <c r="L16" s="215" t="s">
        <v>5477</v>
      </c>
      <c r="M16" s="6" t="s">
        <v>6575</v>
      </c>
      <c r="N16" s="215" t="s">
        <v>5386</v>
      </c>
      <c r="O16" s="36" t="s">
        <v>5376</v>
      </c>
      <c r="P16" s="36" t="s">
        <v>587</v>
      </c>
      <c r="Q16" s="36" t="s">
        <v>6576</v>
      </c>
      <c r="R16" s="36" t="s">
        <v>587</v>
      </c>
      <c r="S16" s="36" t="s">
        <v>587</v>
      </c>
      <c r="T16" s="36" t="s">
        <v>587</v>
      </c>
      <c r="U16" s="36" t="s">
        <v>1547</v>
      </c>
      <c r="V16" s="6" t="s">
        <v>6577</v>
      </c>
      <c r="W16" s="6" t="s">
        <v>6578</v>
      </c>
      <c r="X16" s="186" t="n">
        <f aca="false">IF($O16="Active",SUMPRODUCT(($AH$5:$AH$75=$AH16)*1),0)</f>
        <v>1</v>
      </c>
      <c r="Y16" s="186" t="n">
        <f aca="false">IF(AND($O16="Active",OR($Q16="—",$Q16="")),1,0)</f>
        <v>0</v>
      </c>
      <c r="Z16" s="186" t="n">
        <f aca="false">IF(AND($O16="Active",$L16="利害關係方",OR($R16="—",$R16="")),1,0)</f>
        <v>0</v>
      </c>
      <c r="AH16" s="35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6" t="s">
        <v>6579</v>
      </c>
      <c r="B17" s="6" t="s">
        <v>6580</v>
      </c>
      <c r="C17" s="217" t="n">
        <v>0.5333</v>
      </c>
      <c r="D17" s="215"/>
      <c r="E17" s="215"/>
      <c r="F17" s="215" t="s">
        <v>6572</v>
      </c>
      <c r="G17" s="36" t="s">
        <v>6573</v>
      </c>
      <c r="H17" s="36" t="s">
        <v>1545</v>
      </c>
      <c r="I17" s="36" t="s">
        <v>5383</v>
      </c>
      <c r="J17" s="6" t="s">
        <v>6574</v>
      </c>
      <c r="K17" s="215" t="n">
        <v>2</v>
      </c>
      <c r="L17" s="215" t="s">
        <v>5477</v>
      </c>
      <c r="M17" s="6" t="s">
        <v>6575</v>
      </c>
      <c r="N17" s="215" t="s">
        <v>5386</v>
      </c>
      <c r="O17" s="36" t="s">
        <v>5376</v>
      </c>
      <c r="P17" s="36" t="s">
        <v>587</v>
      </c>
      <c r="Q17" s="36" t="s">
        <v>6576</v>
      </c>
      <c r="R17" s="36" t="s">
        <v>587</v>
      </c>
      <c r="S17" s="36" t="s">
        <v>587</v>
      </c>
      <c r="T17" s="36" t="s">
        <v>587</v>
      </c>
      <c r="U17" s="36" t="s">
        <v>1547</v>
      </c>
      <c r="V17" s="6" t="s">
        <v>6581</v>
      </c>
      <c r="W17" s="6" t="s">
        <v>6582</v>
      </c>
      <c r="X17" s="186" t="n">
        <f aca="false">IF($O17="Active",SUMPRODUCT(($AH$5:$AH$75=$AH17)*1),0)</f>
        <v>1</v>
      </c>
      <c r="Y17" s="186" t="n">
        <f aca="false">IF(AND($O17="Active",OR($Q17="—",$Q17="")),1,0)</f>
        <v>0</v>
      </c>
      <c r="Z17" s="186" t="n">
        <f aca="false">IF(AND($O17="Active",$L17="利害關係方",OR($R17="—",$R17="")),1,0)</f>
        <v>0</v>
      </c>
      <c r="AH17" s="35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6" t="s">
        <v>6583</v>
      </c>
      <c r="B18" s="6" t="s">
        <v>6584</v>
      </c>
      <c r="C18" s="217" t="n">
        <v>6.5667</v>
      </c>
      <c r="D18" s="215"/>
      <c r="E18" s="215"/>
      <c r="F18" s="215" t="s">
        <v>6572</v>
      </c>
      <c r="G18" s="36" t="s">
        <v>6585</v>
      </c>
      <c r="H18" s="36" t="s">
        <v>6586</v>
      </c>
      <c r="I18" s="36" t="s">
        <v>5383</v>
      </c>
      <c r="J18" s="6" t="s">
        <v>6574</v>
      </c>
      <c r="K18" s="215" t="n">
        <v>2</v>
      </c>
      <c r="L18" s="215" t="s">
        <v>5477</v>
      </c>
      <c r="M18" s="6" t="s">
        <v>6575</v>
      </c>
      <c r="N18" s="215" t="s">
        <v>5386</v>
      </c>
      <c r="O18" s="36" t="s">
        <v>5376</v>
      </c>
      <c r="P18" s="36" t="s">
        <v>587</v>
      </c>
      <c r="Q18" s="36" t="s">
        <v>6576</v>
      </c>
      <c r="R18" s="36" t="s">
        <v>587</v>
      </c>
      <c r="S18" s="36" t="s">
        <v>587</v>
      </c>
      <c r="T18" s="36" t="s">
        <v>587</v>
      </c>
      <c r="U18" s="36" t="s">
        <v>1547</v>
      </c>
      <c r="V18" s="6" t="s">
        <v>6587</v>
      </c>
      <c r="W18" s="6" t="s">
        <v>587</v>
      </c>
      <c r="X18" s="186" t="n">
        <f aca="false">IF($O18="Active",SUMPRODUCT(($AH$5:$AH$75=$AH18)*1),0)</f>
        <v>1</v>
      </c>
      <c r="Y18" s="186" t="n">
        <f aca="false">IF(AND($O18="Active",OR($Q18="—",$Q18="")),1,0)</f>
        <v>0</v>
      </c>
      <c r="Z18" s="186" t="n">
        <f aca="false">IF(AND($O18="Active",$L18="利害關係方",OR($R18="—",$R18="")),1,0)</f>
        <v>0</v>
      </c>
      <c r="AH18" s="35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6" t="s">
        <v>6588</v>
      </c>
      <c r="B19" s="6" t="s">
        <v>6589</v>
      </c>
      <c r="C19" s="217" t="n">
        <v>0.9167</v>
      </c>
      <c r="D19" s="215"/>
      <c r="E19" s="215"/>
      <c r="F19" s="215" t="s">
        <v>6572</v>
      </c>
      <c r="G19" s="36" t="s">
        <v>6585</v>
      </c>
      <c r="H19" s="36" t="s">
        <v>6586</v>
      </c>
      <c r="I19" s="36" t="s">
        <v>5383</v>
      </c>
      <c r="J19" s="6" t="s">
        <v>6574</v>
      </c>
      <c r="K19" s="215" t="n">
        <v>2</v>
      </c>
      <c r="L19" s="215" t="s">
        <v>5477</v>
      </c>
      <c r="M19" s="6" t="s">
        <v>6575</v>
      </c>
      <c r="N19" s="215" t="s">
        <v>5386</v>
      </c>
      <c r="O19" s="36" t="s">
        <v>5376</v>
      </c>
      <c r="P19" s="36" t="s">
        <v>587</v>
      </c>
      <c r="Q19" s="36" t="s">
        <v>6576</v>
      </c>
      <c r="R19" s="36" t="s">
        <v>587</v>
      </c>
      <c r="S19" s="36" t="s">
        <v>587</v>
      </c>
      <c r="T19" s="36" t="s">
        <v>587</v>
      </c>
      <c r="U19" s="36" t="s">
        <v>1547</v>
      </c>
      <c r="V19" s="6" t="s">
        <v>6590</v>
      </c>
      <c r="W19" s="6" t="s">
        <v>587</v>
      </c>
      <c r="X19" s="186" t="n">
        <f aca="false">IF($O19="Active",SUMPRODUCT(($AH$5:$AH$75=$AH19)*1),0)</f>
        <v>1</v>
      </c>
      <c r="Y19" s="186" t="n">
        <f aca="false">IF(AND($O19="Active",OR($Q19="—",$Q19="")),1,0)</f>
        <v>0</v>
      </c>
      <c r="Z19" s="186" t="n">
        <f aca="false">IF(AND($O19="Active",$L19="利害關係方",OR($R19="—",$R19="")),1,0)</f>
        <v>0</v>
      </c>
      <c r="AH19" s="35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6" t="s">
        <v>6591</v>
      </c>
      <c r="B20" s="6" t="s">
        <v>6592</v>
      </c>
      <c r="C20" s="217" t="n">
        <v>5.7</v>
      </c>
      <c r="D20" s="215"/>
      <c r="E20" s="215"/>
      <c r="F20" s="215" t="s">
        <v>6572</v>
      </c>
      <c r="G20" s="36" t="s">
        <v>6585</v>
      </c>
      <c r="H20" s="36" t="s">
        <v>6593</v>
      </c>
      <c r="I20" s="36" t="s">
        <v>5383</v>
      </c>
      <c r="J20" s="6" t="s">
        <v>6574</v>
      </c>
      <c r="K20" s="215" t="n">
        <v>2</v>
      </c>
      <c r="L20" s="215" t="s">
        <v>5477</v>
      </c>
      <c r="M20" s="6" t="s">
        <v>6575</v>
      </c>
      <c r="N20" s="215" t="s">
        <v>5386</v>
      </c>
      <c r="O20" s="36" t="s">
        <v>5376</v>
      </c>
      <c r="P20" s="36" t="s">
        <v>587</v>
      </c>
      <c r="Q20" s="36" t="s">
        <v>6576</v>
      </c>
      <c r="R20" s="36" t="s">
        <v>587</v>
      </c>
      <c r="S20" s="36" t="s">
        <v>587</v>
      </c>
      <c r="T20" s="36" t="s">
        <v>587</v>
      </c>
      <c r="U20" s="36" t="s">
        <v>1547</v>
      </c>
      <c r="V20" s="6" t="s">
        <v>6594</v>
      </c>
      <c r="W20" s="6" t="s">
        <v>587</v>
      </c>
      <c r="X20" s="186" t="n">
        <f aca="false">IF($O20="Active",SUMPRODUCT(($AH$5:$AH$75=$AH20)*1),0)</f>
        <v>1</v>
      </c>
      <c r="Y20" s="186" t="n">
        <f aca="false">IF(AND($O20="Active",OR($Q20="—",$Q20="")),1,0)</f>
        <v>0</v>
      </c>
      <c r="Z20" s="186" t="n">
        <f aca="false">IF(AND($O20="Active",$L20="利害關係方",OR($R20="—",$R20="")),1,0)</f>
        <v>0</v>
      </c>
      <c r="AH20" s="35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6" t="s">
        <v>6595</v>
      </c>
      <c r="B21" s="6" t="s">
        <v>6596</v>
      </c>
      <c r="C21" s="217" t="n">
        <v>0.9</v>
      </c>
      <c r="D21" s="215"/>
      <c r="E21" s="215"/>
      <c r="F21" s="215" t="s">
        <v>6572</v>
      </c>
      <c r="G21" s="36" t="s">
        <v>6585</v>
      </c>
      <c r="H21" s="36" t="s">
        <v>6593</v>
      </c>
      <c r="I21" s="36" t="s">
        <v>5383</v>
      </c>
      <c r="J21" s="6" t="s">
        <v>6574</v>
      </c>
      <c r="K21" s="215" t="n">
        <v>2</v>
      </c>
      <c r="L21" s="215" t="s">
        <v>5477</v>
      </c>
      <c r="M21" s="6" t="s">
        <v>6575</v>
      </c>
      <c r="N21" s="215" t="s">
        <v>5386</v>
      </c>
      <c r="O21" s="36" t="s">
        <v>5376</v>
      </c>
      <c r="P21" s="36" t="s">
        <v>587</v>
      </c>
      <c r="Q21" s="36" t="s">
        <v>6576</v>
      </c>
      <c r="R21" s="36" t="s">
        <v>587</v>
      </c>
      <c r="S21" s="36" t="s">
        <v>587</v>
      </c>
      <c r="T21" s="36" t="s">
        <v>587</v>
      </c>
      <c r="U21" s="36" t="s">
        <v>1547</v>
      </c>
      <c r="V21" s="6" t="s">
        <v>6597</v>
      </c>
      <c r="W21" s="6" t="s">
        <v>587</v>
      </c>
      <c r="X21" s="186" t="n">
        <f aca="false">IF($O21="Active",SUMPRODUCT(($AH$5:$AH$75=$AH21)*1),0)</f>
        <v>1</v>
      </c>
      <c r="Y21" s="186" t="n">
        <f aca="false">IF(AND($O21="Active",OR($Q21="—",$Q21="")),1,0)</f>
        <v>0</v>
      </c>
      <c r="Z21" s="186" t="n">
        <f aca="false">IF(AND($O21="Active",$L21="利害關係方",OR($R21="—",$R21="")),1,0)</f>
        <v>0</v>
      </c>
      <c r="AH21" s="35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6" t="s">
        <v>6598</v>
      </c>
      <c r="B22" s="6" t="s">
        <v>6599</v>
      </c>
      <c r="C22" s="217" t="n">
        <v>5.8333</v>
      </c>
      <c r="D22" s="215"/>
      <c r="E22" s="215"/>
      <c r="F22" s="215" t="s">
        <v>6572</v>
      </c>
      <c r="G22" s="36" t="s">
        <v>6585</v>
      </c>
      <c r="H22" s="36" t="s">
        <v>1550</v>
      </c>
      <c r="I22" s="36" t="s">
        <v>5383</v>
      </c>
      <c r="J22" s="6" t="s">
        <v>6574</v>
      </c>
      <c r="K22" s="215" t="n">
        <v>2</v>
      </c>
      <c r="L22" s="215" t="s">
        <v>5477</v>
      </c>
      <c r="M22" s="6" t="s">
        <v>6575</v>
      </c>
      <c r="N22" s="215" t="s">
        <v>5386</v>
      </c>
      <c r="O22" s="36" t="s">
        <v>5376</v>
      </c>
      <c r="P22" s="36" t="s">
        <v>587</v>
      </c>
      <c r="Q22" s="36" t="s">
        <v>6576</v>
      </c>
      <c r="R22" s="36" t="s">
        <v>587</v>
      </c>
      <c r="S22" s="36" t="s">
        <v>587</v>
      </c>
      <c r="T22" s="36" t="s">
        <v>587</v>
      </c>
      <c r="U22" s="36" t="s">
        <v>1547</v>
      </c>
      <c r="V22" s="6" t="s">
        <v>6600</v>
      </c>
      <c r="W22" s="6" t="s">
        <v>587</v>
      </c>
      <c r="X22" s="186" t="n">
        <f aca="false">IF($O22="Active",SUMPRODUCT(($AH$5:$AH$75=$AH22)*1),0)</f>
        <v>1</v>
      </c>
      <c r="Y22" s="186" t="n">
        <f aca="false">IF(AND($O22="Active",OR($Q22="—",$Q22="")),1,0)</f>
        <v>0</v>
      </c>
      <c r="Z22" s="186" t="n">
        <f aca="false">IF(AND($O22="Active",$L22="利害關係方",OR($R22="—",$R22="")),1,0)</f>
        <v>0</v>
      </c>
      <c r="AH22" s="35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6" t="s">
        <v>6601</v>
      </c>
      <c r="B23" s="6" t="s">
        <v>6602</v>
      </c>
      <c r="C23" s="217" t="n">
        <v>1.5</v>
      </c>
      <c r="D23" s="215"/>
      <c r="E23" s="215"/>
      <c r="F23" s="215" t="s">
        <v>6572</v>
      </c>
      <c r="G23" s="36" t="s">
        <v>6585</v>
      </c>
      <c r="H23" s="36" t="s">
        <v>1550</v>
      </c>
      <c r="I23" s="36" t="s">
        <v>5383</v>
      </c>
      <c r="J23" s="6" t="s">
        <v>6574</v>
      </c>
      <c r="K23" s="215" t="n">
        <v>2</v>
      </c>
      <c r="L23" s="215" t="s">
        <v>5477</v>
      </c>
      <c r="M23" s="6" t="s">
        <v>6575</v>
      </c>
      <c r="N23" s="215" t="s">
        <v>5386</v>
      </c>
      <c r="O23" s="36" t="s">
        <v>5376</v>
      </c>
      <c r="P23" s="36" t="s">
        <v>587</v>
      </c>
      <c r="Q23" s="36" t="s">
        <v>6576</v>
      </c>
      <c r="R23" s="36" t="s">
        <v>587</v>
      </c>
      <c r="S23" s="36" t="s">
        <v>587</v>
      </c>
      <c r="T23" s="36" t="s">
        <v>587</v>
      </c>
      <c r="U23" s="36" t="s">
        <v>1547</v>
      </c>
      <c r="V23" s="6" t="s">
        <v>6603</v>
      </c>
      <c r="W23" s="6" t="s">
        <v>587</v>
      </c>
      <c r="X23" s="186" t="n">
        <f aca="false">IF($O23="Active",SUMPRODUCT(($AH$5:$AH$75=$AH23)*1),0)</f>
        <v>1</v>
      </c>
      <c r="Y23" s="186" t="n">
        <f aca="false">IF(AND($O23="Active",OR($Q23="—",$Q23="")),1,0)</f>
        <v>0</v>
      </c>
      <c r="Z23" s="186" t="n">
        <f aca="false">IF(AND($O23="Active",$L23="利害關係方",OR($R23="—",$R23="")),1,0)</f>
        <v>0</v>
      </c>
      <c r="AH23" s="35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6" t="s">
        <v>4474</v>
      </c>
      <c r="B24" s="6" t="s">
        <v>6604</v>
      </c>
      <c r="C24" s="217" t="n">
        <v>11.3</v>
      </c>
      <c r="D24" s="215"/>
      <c r="E24" s="215"/>
      <c r="F24" s="215" t="s">
        <v>6572</v>
      </c>
      <c r="G24" s="36" t="s">
        <v>6585</v>
      </c>
      <c r="H24" s="36" t="s">
        <v>6153</v>
      </c>
      <c r="I24" s="36" t="s">
        <v>5383</v>
      </c>
      <c r="J24" s="6" t="s">
        <v>6574</v>
      </c>
      <c r="K24" s="215" t="n">
        <v>2</v>
      </c>
      <c r="L24" s="215" t="s">
        <v>5477</v>
      </c>
      <c r="M24" s="6" t="s">
        <v>6575</v>
      </c>
      <c r="N24" s="215" t="s">
        <v>5386</v>
      </c>
      <c r="O24" s="36" t="s">
        <v>5376</v>
      </c>
      <c r="P24" s="36" t="s">
        <v>587</v>
      </c>
      <c r="Q24" s="36" t="s">
        <v>6576</v>
      </c>
      <c r="R24" s="36" t="s">
        <v>587</v>
      </c>
      <c r="S24" s="36" t="s">
        <v>587</v>
      </c>
      <c r="T24" s="36" t="s">
        <v>587</v>
      </c>
      <c r="U24" s="36" t="s">
        <v>1547</v>
      </c>
      <c r="V24" s="6" t="s">
        <v>587</v>
      </c>
      <c r="W24" s="6" t="s">
        <v>6605</v>
      </c>
      <c r="X24" s="186" t="n">
        <f aca="false">IF($O24="Active",SUMPRODUCT(($AH$5:$AH$75=$AH24)*1),0)</f>
        <v>1</v>
      </c>
      <c r="Y24" s="186" t="n">
        <f aca="false">IF(AND($O24="Active",OR($Q24="—",$Q24="")),1,0)</f>
        <v>0</v>
      </c>
      <c r="Z24" s="186" t="n">
        <f aca="false">IF(AND($O24="Active",$L24="利害關係方",OR($R24="—",$R24="")),1,0)</f>
        <v>0</v>
      </c>
      <c r="AH24" s="35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6" t="s">
        <v>4483</v>
      </c>
      <c r="B25" s="6" t="s">
        <v>6606</v>
      </c>
      <c r="C25" s="217" t="n">
        <v>17.4</v>
      </c>
      <c r="D25" s="215"/>
      <c r="E25" s="215"/>
      <c r="F25" s="215" t="s">
        <v>6572</v>
      </c>
      <c r="G25" s="36" t="s">
        <v>6607</v>
      </c>
      <c r="H25" s="36" t="s">
        <v>6608</v>
      </c>
      <c r="I25" s="36" t="s">
        <v>5383</v>
      </c>
      <c r="J25" s="6" t="s">
        <v>6574</v>
      </c>
      <c r="K25" s="215" t="n">
        <v>2</v>
      </c>
      <c r="L25" s="215" t="s">
        <v>5477</v>
      </c>
      <c r="M25" s="6" t="s">
        <v>6575</v>
      </c>
      <c r="N25" s="215" t="s">
        <v>5386</v>
      </c>
      <c r="O25" s="36" t="s">
        <v>5376</v>
      </c>
      <c r="P25" s="36" t="s">
        <v>587</v>
      </c>
      <c r="Q25" s="36" t="s">
        <v>6576</v>
      </c>
      <c r="R25" s="36" t="s">
        <v>587</v>
      </c>
      <c r="S25" s="36" t="s">
        <v>587</v>
      </c>
      <c r="T25" s="36" t="s">
        <v>587</v>
      </c>
      <c r="U25" s="36" t="s">
        <v>1547</v>
      </c>
      <c r="V25" s="6" t="s">
        <v>587</v>
      </c>
      <c r="W25" s="6" t="s">
        <v>587</v>
      </c>
      <c r="X25" s="186" t="n">
        <f aca="false">IF($O25="Active",SUMPRODUCT(($AH$5:$AH$75=$AH25)*1),0)</f>
        <v>1</v>
      </c>
      <c r="Y25" s="186" t="n">
        <f aca="false">IF(AND($O25="Active",OR($Q25="—",$Q25="")),1,0)</f>
        <v>0</v>
      </c>
      <c r="Z25" s="186" t="n">
        <f aca="false">IF(AND($O25="Active",$L25="利害關係方",OR($R25="—",$R25="")),1,0)</f>
        <v>0</v>
      </c>
      <c r="AH25" s="35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3" t="s">
        <v>6609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5348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214" t="s">
        <v>5363</v>
      </c>
      <c r="Y4" s="214" t="s">
        <v>5364</v>
      </c>
      <c r="Z4" s="214" t="s">
        <v>5365</v>
      </c>
      <c r="AH4" s="76" t="s">
        <v>5366</v>
      </c>
    </row>
    <row r="5" customFormat="false" ht="15" hidden="false" customHeight="true" outlineLevel="0" collapsed="false">
      <c r="A5" s="36" t="s">
        <v>3918</v>
      </c>
      <c r="B5" s="6" t="s">
        <v>6610</v>
      </c>
      <c r="C5" s="217" t="n">
        <v>4</v>
      </c>
      <c r="D5" s="215"/>
      <c r="E5" s="215"/>
      <c r="F5" s="36" t="s">
        <v>83</v>
      </c>
      <c r="G5" s="215" t="s">
        <v>6611</v>
      </c>
      <c r="H5" s="36" t="s">
        <v>6612</v>
      </c>
      <c r="I5" s="36" t="s">
        <v>5899</v>
      </c>
      <c r="J5" s="6" t="s">
        <v>6613</v>
      </c>
      <c r="K5" s="215" t="n">
        <v>2</v>
      </c>
      <c r="L5" s="215" t="s">
        <v>5373</v>
      </c>
      <c r="M5" s="6" t="s">
        <v>6614</v>
      </c>
      <c r="N5" s="215" t="s">
        <v>5386</v>
      </c>
      <c r="O5" s="36" t="s">
        <v>5376</v>
      </c>
      <c r="P5" s="36" t="s">
        <v>587</v>
      </c>
      <c r="Q5" s="36" t="s">
        <v>6615</v>
      </c>
      <c r="R5" s="36" t="s">
        <v>587</v>
      </c>
      <c r="S5" s="36" t="s">
        <v>587</v>
      </c>
      <c r="T5" s="36" t="s">
        <v>587</v>
      </c>
      <c r="U5" s="36" t="s">
        <v>6616</v>
      </c>
      <c r="V5" s="6" t="s">
        <v>6617</v>
      </c>
      <c r="W5" s="6" t="s">
        <v>587</v>
      </c>
      <c r="X5" s="186" t="n">
        <f aca="false">IF($O5="Active",SUMPRODUCT(($AH$5:$AH$69=$AH5)*1),0)</f>
        <v>1</v>
      </c>
      <c r="Y5" s="186" t="n">
        <f aca="false">IF(AND($O5="Active",OR($Q5="—",$Q5="")),1,0)</f>
        <v>0</v>
      </c>
      <c r="Z5" s="186" t="n">
        <f aca="false">IF(AND($O5="Active",$L5="利害關係方",OR($R5="—",$R5="")),1,0)</f>
        <v>1</v>
      </c>
      <c r="AH5" s="35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6" t="s">
        <v>3921</v>
      </c>
      <c r="B6" s="6" t="s">
        <v>6618</v>
      </c>
      <c r="C6" s="217" t="n">
        <v>15</v>
      </c>
      <c r="D6" s="215"/>
      <c r="E6" s="215"/>
      <c r="F6" s="36" t="s">
        <v>83</v>
      </c>
      <c r="G6" s="215" t="s">
        <v>5458</v>
      </c>
      <c r="H6" s="36" t="s">
        <v>6612</v>
      </c>
      <c r="I6" s="36" t="s">
        <v>5899</v>
      </c>
      <c r="J6" s="6" t="s">
        <v>6613</v>
      </c>
      <c r="K6" s="215" t="n">
        <v>2</v>
      </c>
      <c r="L6" s="215" t="s">
        <v>5373</v>
      </c>
      <c r="M6" s="6" t="s">
        <v>6614</v>
      </c>
      <c r="N6" s="215" t="s">
        <v>5386</v>
      </c>
      <c r="O6" s="36" t="s">
        <v>5376</v>
      </c>
      <c r="P6" s="36" t="s">
        <v>587</v>
      </c>
      <c r="Q6" s="36" t="s">
        <v>6615</v>
      </c>
      <c r="R6" s="36" t="s">
        <v>587</v>
      </c>
      <c r="S6" s="36" t="s">
        <v>587</v>
      </c>
      <c r="T6" s="36" t="s">
        <v>587</v>
      </c>
      <c r="U6" s="36" t="s">
        <v>6616</v>
      </c>
      <c r="V6" s="6" t="s">
        <v>6619</v>
      </c>
      <c r="W6" s="6" t="s">
        <v>6620</v>
      </c>
      <c r="X6" s="186" t="n">
        <f aca="false">IF($O6="Active",SUMPRODUCT(($AH$5:$AH$69=$AH6)*1),0)</f>
        <v>1</v>
      </c>
      <c r="Y6" s="186" t="n">
        <f aca="false">IF(AND($O6="Active",OR($Q6="—",$Q6="")),1,0)</f>
        <v>0</v>
      </c>
      <c r="Z6" s="186" t="n">
        <f aca="false">IF(AND($O6="Active",$L6="利害關係方",OR($R6="—",$R6="")),1,0)</f>
        <v>1</v>
      </c>
      <c r="AH6" s="35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6" t="s">
        <v>4429</v>
      </c>
      <c r="B7" s="6" t="s">
        <v>6621</v>
      </c>
      <c r="C7" s="217" t="n">
        <v>0.627</v>
      </c>
      <c r="D7" s="215"/>
      <c r="E7" s="215"/>
      <c r="F7" s="36" t="s">
        <v>79</v>
      </c>
      <c r="G7" s="36" t="s">
        <v>6622</v>
      </c>
      <c r="H7" s="36" t="s">
        <v>1184</v>
      </c>
      <c r="I7" s="36" t="s">
        <v>1189</v>
      </c>
      <c r="J7" s="6" t="s">
        <v>6623</v>
      </c>
      <c r="K7" s="215" t="n">
        <v>2</v>
      </c>
      <c r="L7" s="215" t="s">
        <v>5373</v>
      </c>
      <c r="M7" s="6" t="s">
        <v>6624</v>
      </c>
      <c r="N7" s="215" t="s">
        <v>5386</v>
      </c>
      <c r="O7" s="36" t="s">
        <v>5376</v>
      </c>
      <c r="P7" s="36" t="s">
        <v>587</v>
      </c>
      <c r="Q7" s="36" t="s">
        <v>6625</v>
      </c>
      <c r="R7" s="36" t="s">
        <v>587</v>
      </c>
      <c r="S7" s="36" t="s">
        <v>587</v>
      </c>
      <c r="T7" s="36" t="s">
        <v>587</v>
      </c>
      <c r="U7" s="36" t="s">
        <v>1528</v>
      </c>
      <c r="V7" s="6" t="s">
        <v>6626</v>
      </c>
      <c r="W7" s="6" t="s">
        <v>587</v>
      </c>
      <c r="X7" s="186" t="n">
        <f aca="false">IF($O7="Active",SUMPRODUCT(($AH$5:$AH$69=$AH7)*1),0)</f>
        <v>1</v>
      </c>
      <c r="Y7" s="186" t="n">
        <f aca="false">IF(AND($O7="Active",OR($Q7="—",$Q7="")),1,0)</f>
        <v>0</v>
      </c>
      <c r="Z7" s="186" t="n">
        <f aca="false">IF(AND($O7="Active",$L7="利害關係方",OR($R7="—",$R7="")),1,0)</f>
        <v>1</v>
      </c>
      <c r="AH7" s="35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6" t="s">
        <v>6627</v>
      </c>
      <c r="B8" s="6" t="s">
        <v>6628</v>
      </c>
      <c r="C8" s="217" t="n">
        <v>26098</v>
      </c>
      <c r="D8" s="215"/>
      <c r="E8" s="215"/>
      <c r="F8" s="36" t="s">
        <v>402</v>
      </c>
      <c r="G8" s="215" t="s">
        <v>105</v>
      </c>
      <c r="H8" s="36" t="s">
        <v>1184</v>
      </c>
      <c r="I8" s="36" t="s">
        <v>1189</v>
      </c>
      <c r="J8" s="6" t="s">
        <v>6623</v>
      </c>
      <c r="K8" s="215" t="n">
        <v>2</v>
      </c>
      <c r="L8" s="215" t="s">
        <v>5373</v>
      </c>
      <c r="M8" s="6" t="s">
        <v>6624</v>
      </c>
      <c r="N8" s="215" t="s">
        <v>5386</v>
      </c>
      <c r="O8" s="36" t="s">
        <v>5376</v>
      </c>
      <c r="P8" s="36" t="s">
        <v>587</v>
      </c>
      <c r="Q8" s="36" t="s">
        <v>6625</v>
      </c>
      <c r="R8" s="36" t="s">
        <v>587</v>
      </c>
      <c r="S8" s="36" t="s">
        <v>587</v>
      </c>
      <c r="T8" s="36" t="s">
        <v>587</v>
      </c>
      <c r="U8" s="36" t="s">
        <v>1528</v>
      </c>
      <c r="V8" s="6" t="s">
        <v>6629</v>
      </c>
      <c r="W8" s="6" t="s">
        <v>587</v>
      </c>
      <c r="X8" s="186" t="n">
        <f aca="false">IF($O8="Active",SUMPRODUCT(($AH$5:$AH$69=$AH8)*1),0)</f>
        <v>1</v>
      </c>
      <c r="Y8" s="186" t="n">
        <f aca="false">IF(AND($O8="Active",OR($Q8="—",$Q8="")),1,0)</f>
        <v>0</v>
      </c>
      <c r="Z8" s="186" t="n">
        <f aca="false">IF(AND($O8="Active",$L8="利害關係方",OR($R8="—",$R8="")),1,0)</f>
        <v>1</v>
      </c>
      <c r="AH8" s="35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6" t="s">
        <v>6630</v>
      </c>
      <c r="B9" s="6" t="s">
        <v>6631</v>
      </c>
      <c r="C9" s="217" t="n">
        <v>0.986</v>
      </c>
      <c r="D9" s="215"/>
      <c r="E9" s="215"/>
      <c r="F9" s="36" t="s">
        <v>79</v>
      </c>
      <c r="G9" s="215" t="s">
        <v>105</v>
      </c>
      <c r="H9" s="36" t="s">
        <v>1184</v>
      </c>
      <c r="I9" s="36" t="s">
        <v>1189</v>
      </c>
      <c r="J9" s="6" t="s">
        <v>6623</v>
      </c>
      <c r="K9" s="215" t="n">
        <v>2</v>
      </c>
      <c r="L9" s="215" t="s">
        <v>5373</v>
      </c>
      <c r="M9" s="6" t="s">
        <v>6624</v>
      </c>
      <c r="N9" s="215" t="s">
        <v>5386</v>
      </c>
      <c r="O9" s="36" t="s">
        <v>5376</v>
      </c>
      <c r="P9" s="36" t="s">
        <v>587</v>
      </c>
      <c r="Q9" s="36" t="s">
        <v>6625</v>
      </c>
      <c r="R9" s="36" t="s">
        <v>587</v>
      </c>
      <c r="S9" s="36" t="s">
        <v>587</v>
      </c>
      <c r="T9" s="36" t="s">
        <v>587</v>
      </c>
      <c r="U9" s="36" t="s">
        <v>1528</v>
      </c>
      <c r="V9" s="6" t="s">
        <v>6632</v>
      </c>
      <c r="W9" s="6" t="s">
        <v>587</v>
      </c>
      <c r="X9" s="186" t="n">
        <f aca="false">IF($O9="Active",SUMPRODUCT(($AH$5:$AH$69=$AH9)*1),0)</f>
        <v>1</v>
      </c>
      <c r="Y9" s="186" t="n">
        <f aca="false">IF(AND($O9="Active",OR($Q9="—",$Q9="")),1,0)</f>
        <v>0</v>
      </c>
      <c r="Z9" s="186" t="n">
        <f aca="false">IF(AND($O9="Active",$L9="利害關係方",OR($R9="—",$R9="")),1,0)</f>
        <v>1</v>
      </c>
      <c r="AH9" s="35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6" t="s">
        <v>6633</v>
      </c>
      <c r="B10" s="6" t="s">
        <v>6634</v>
      </c>
      <c r="C10" s="217" t="n">
        <v>17332</v>
      </c>
      <c r="D10" s="215"/>
      <c r="E10" s="215"/>
      <c r="F10" s="36" t="s">
        <v>402</v>
      </c>
      <c r="G10" s="215" t="s">
        <v>105</v>
      </c>
      <c r="H10" s="36" t="s">
        <v>1184</v>
      </c>
      <c r="I10" s="36" t="s">
        <v>1189</v>
      </c>
      <c r="J10" s="6" t="s">
        <v>6623</v>
      </c>
      <c r="K10" s="215" t="n">
        <v>2</v>
      </c>
      <c r="L10" s="215" t="s">
        <v>5373</v>
      </c>
      <c r="M10" s="6" t="s">
        <v>6624</v>
      </c>
      <c r="N10" s="215" t="s">
        <v>5386</v>
      </c>
      <c r="O10" s="36" t="s">
        <v>5376</v>
      </c>
      <c r="P10" s="36" t="s">
        <v>587</v>
      </c>
      <c r="Q10" s="36" t="s">
        <v>6625</v>
      </c>
      <c r="R10" s="36" t="s">
        <v>587</v>
      </c>
      <c r="S10" s="36" t="s">
        <v>587</v>
      </c>
      <c r="T10" s="36" t="s">
        <v>587</v>
      </c>
      <c r="U10" s="36" t="s">
        <v>1528</v>
      </c>
      <c r="V10" s="6" t="s">
        <v>6635</v>
      </c>
      <c r="W10" s="6" t="s">
        <v>587</v>
      </c>
      <c r="X10" s="186" t="n">
        <f aca="false">IF($O10="Active",SUMPRODUCT(($AH$5:$AH$69=$AH10)*1),0)</f>
        <v>1</v>
      </c>
      <c r="Y10" s="186" t="n">
        <f aca="false">IF(AND($O10="Active",OR($Q10="—",$Q10="")),1,0)</f>
        <v>0</v>
      </c>
      <c r="Z10" s="186" t="n">
        <f aca="false">IF(AND($O10="Active",$L10="利害關係方",OR($R10="—",$R10="")),1,0)</f>
        <v>1</v>
      </c>
      <c r="AH10" s="35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6" t="s">
        <v>6636</v>
      </c>
      <c r="B11" s="6" t="s">
        <v>6637</v>
      </c>
      <c r="C11" s="217" t="n">
        <v>0.999</v>
      </c>
      <c r="D11" s="215"/>
      <c r="E11" s="215"/>
      <c r="F11" s="36" t="s">
        <v>79</v>
      </c>
      <c r="G11" s="36" t="s">
        <v>6638</v>
      </c>
      <c r="H11" s="36" t="s">
        <v>1184</v>
      </c>
      <c r="I11" s="36" t="s">
        <v>1189</v>
      </c>
      <c r="J11" s="6" t="s">
        <v>6623</v>
      </c>
      <c r="K11" s="215" t="n">
        <v>2</v>
      </c>
      <c r="L11" s="215" t="s">
        <v>5373</v>
      </c>
      <c r="M11" s="6" t="s">
        <v>6624</v>
      </c>
      <c r="N11" s="215" t="s">
        <v>5386</v>
      </c>
      <c r="O11" s="36" t="s">
        <v>5376</v>
      </c>
      <c r="P11" s="36" t="s">
        <v>587</v>
      </c>
      <c r="Q11" s="36" t="s">
        <v>6625</v>
      </c>
      <c r="R11" s="36" t="s">
        <v>587</v>
      </c>
      <c r="S11" s="36" t="s">
        <v>587</v>
      </c>
      <c r="T11" s="36" t="s">
        <v>587</v>
      </c>
      <c r="U11" s="36" t="s">
        <v>1528</v>
      </c>
      <c r="V11" s="6" t="s">
        <v>6639</v>
      </c>
      <c r="W11" s="6" t="s">
        <v>587</v>
      </c>
      <c r="X11" s="186" t="n">
        <f aca="false">IF($O11="Active",SUMPRODUCT(($AH$5:$AH$69=$AH11)*1),0)</f>
        <v>1</v>
      </c>
      <c r="Y11" s="186" t="n">
        <f aca="false">IF(AND($O11="Active",OR($Q11="—",$Q11="")),1,0)</f>
        <v>0</v>
      </c>
      <c r="Z11" s="186" t="n">
        <f aca="false">IF(AND($O11="Active",$L11="利害關係方",OR($R11="—",$R11="")),1,0)</f>
        <v>1</v>
      </c>
      <c r="AH11" s="35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6" t="s">
        <v>6640</v>
      </c>
      <c r="B12" s="6" t="s">
        <v>6641</v>
      </c>
      <c r="C12" s="217" t="n">
        <v>18817</v>
      </c>
      <c r="D12" s="215"/>
      <c r="E12" s="215"/>
      <c r="F12" s="36" t="s">
        <v>402</v>
      </c>
      <c r="G12" s="215" t="s">
        <v>105</v>
      </c>
      <c r="H12" s="36" t="s">
        <v>1184</v>
      </c>
      <c r="I12" s="36" t="s">
        <v>1189</v>
      </c>
      <c r="J12" s="6" t="s">
        <v>6623</v>
      </c>
      <c r="K12" s="215" t="n">
        <v>2</v>
      </c>
      <c r="L12" s="215" t="s">
        <v>5373</v>
      </c>
      <c r="M12" s="6" t="s">
        <v>6624</v>
      </c>
      <c r="N12" s="215" t="s">
        <v>5386</v>
      </c>
      <c r="O12" s="36" t="s">
        <v>5376</v>
      </c>
      <c r="P12" s="36" t="s">
        <v>587</v>
      </c>
      <c r="Q12" s="36" t="s">
        <v>6625</v>
      </c>
      <c r="R12" s="36" t="s">
        <v>587</v>
      </c>
      <c r="S12" s="36" t="s">
        <v>587</v>
      </c>
      <c r="T12" s="36" t="s">
        <v>587</v>
      </c>
      <c r="U12" s="36" t="s">
        <v>1528</v>
      </c>
      <c r="V12" s="6" t="s">
        <v>6642</v>
      </c>
      <c r="W12" s="19" t="s">
        <v>6643</v>
      </c>
      <c r="X12" s="186" t="n">
        <f aca="false">IF($O12="Active",SUMPRODUCT(($AH$5:$AH$69=$AH12)*1),0)</f>
        <v>1</v>
      </c>
      <c r="Y12" s="186" t="n">
        <f aca="false">IF(AND($O12="Active",OR($Q12="—",$Q12="")),1,0)</f>
        <v>0</v>
      </c>
      <c r="Z12" s="186" t="n">
        <f aca="false">IF(AND($O12="Active",$L12="利害關係方",OR($R12="—",$R12="")),1,0)</f>
        <v>1</v>
      </c>
      <c r="AH12" s="35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6" t="s">
        <v>6644</v>
      </c>
      <c r="B13" s="6" t="s">
        <v>6645</v>
      </c>
      <c r="C13" s="217" t="n">
        <v>19302</v>
      </c>
      <c r="D13" s="215"/>
      <c r="E13" s="215"/>
      <c r="F13" s="36" t="s">
        <v>402</v>
      </c>
      <c r="G13" s="215" t="s">
        <v>105</v>
      </c>
      <c r="H13" s="36" t="s">
        <v>1184</v>
      </c>
      <c r="I13" s="36" t="s">
        <v>1189</v>
      </c>
      <c r="J13" s="6" t="s">
        <v>6623</v>
      </c>
      <c r="K13" s="215" t="n">
        <v>2</v>
      </c>
      <c r="L13" s="215" t="s">
        <v>5373</v>
      </c>
      <c r="M13" s="6" t="s">
        <v>6624</v>
      </c>
      <c r="N13" s="215" t="s">
        <v>5386</v>
      </c>
      <c r="O13" s="36" t="s">
        <v>5425</v>
      </c>
      <c r="P13" s="36" t="s">
        <v>587</v>
      </c>
      <c r="Q13" s="36" t="s">
        <v>6625</v>
      </c>
      <c r="R13" s="36" t="s">
        <v>587</v>
      </c>
      <c r="S13" s="36" t="s">
        <v>587</v>
      </c>
      <c r="T13" s="36" t="s">
        <v>587</v>
      </c>
      <c r="U13" s="36" t="s">
        <v>1528</v>
      </c>
      <c r="V13" s="6" t="s">
        <v>587</v>
      </c>
      <c r="W13" s="19" t="s">
        <v>6646</v>
      </c>
      <c r="X13" s="186" t="n">
        <f aca="false">IF($O13="Active",SUMPRODUCT(($AH$5:$AH$69=$AH13)*1),0)</f>
        <v>0</v>
      </c>
      <c r="Y13" s="186" t="n">
        <f aca="false">IF(AND($O13="Active",OR($Q13="—",$Q13="")),1,0)</f>
        <v>0</v>
      </c>
      <c r="Z13" s="186" t="n">
        <f aca="false">IF(AND($O13="Active",$L13="利害關係方",OR($R13="—",$R13="")),1,0)</f>
        <v>0</v>
      </c>
      <c r="AH13" s="35" t="str">
        <f aca="false">IF($O13="Active",$B13&amp;"¦"&amp;$G13&amp;"¦"&amp;$H13,"")</f>
        <v/>
      </c>
    </row>
    <row r="14" customFormat="false" ht="29.25" hidden="false" customHeight="true" outlineLevel="0" collapsed="false">
      <c r="A14" s="36" t="s">
        <v>6647</v>
      </c>
      <c r="B14" s="6" t="s">
        <v>6648</v>
      </c>
      <c r="C14" s="217" t="n">
        <v>0.51</v>
      </c>
      <c r="D14" s="215"/>
      <c r="E14" s="215"/>
      <c r="F14" s="36" t="s">
        <v>83</v>
      </c>
      <c r="G14" s="215" t="s">
        <v>6649</v>
      </c>
      <c r="H14" s="36" t="s">
        <v>1184</v>
      </c>
      <c r="I14" s="36" t="s">
        <v>1189</v>
      </c>
      <c r="J14" s="6" t="s">
        <v>6623</v>
      </c>
      <c r="K14" s="215" t="n">
        <v>2</v>
      </c>
      <c r="L14" s="215" t="s">
        <v>5373</v>
      </c>
      <c r="M14" s="6" t="s">
        <v>6624</v>
      </c>
      <c r="N14" s="215" t="s">
        <v>5386</v>
      </c>
      <c r="O14" s="36" t="s">
        <v>5376</v>
      </c>
      <c r="P14" s="36" t="s">
        <v>587</v>
      </c>
      <c r="Q14" s="36" t="s">
        <v>6625</v>
      </c>
      <c r="R14" s="36" t="s">
        <v>587</v>
      </c>
      <c r="S14" s="36" t="s">
        <v>587</v>
      </c>
      <c r="T14" s="36" t="s">
        <v>587</v>
      </c>
      <c r="U14" s="36" t="s">
        <v>1528</v>
      </c>
      <c r="V14" s="6" t="s">
        <v>6650</v>
      </c>
      <c r="W14" s="6" t="s">
        <v>587</v>
      </c>
      <c r="X14" s="186" t="n">
        <f aca="false">IF($O14="Active",SUMPRODUCT(($AH$5:$AH$69=$AH14)*1),0)</f>
        <v>1</v>
      </c>
      <c r="Y14" s="186" t="n">
        <f aca="false">IF(AND($O14="Active",OR($Q14="—",$Q14="")),1,0)</f>
        <v>0</v>
      </c>
      <c r="Z14" s="186" t="n">
        <f aca="false">IF(AND($O14="Active",$L14="利害關係方",OR($R14="—",$R14="")),1,0)</f>
        <v>1</v>
      </c>
      <c r="AH14" s="35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6" t="s">
        <v>6651</v>
      </c>
      <c r="B15" s="6" t="s">
        <v>6652</v>
      </c>
      <c r="C15" s="217" t="n">
        <v>3.66</v>
      </c>
      <c r="D15" s="215"/>
      <c r="E15" s="215"/>
      <c r="F15" s="36" t="s">
        <v>83</v>
      </c>
      <c r="G15" s="36" t="s">
        <v>587</v>
      </c>
      <c r="H15" s="36" t="s">
        <v>1184</v>
      </c>
      <c r="I15" s="36" t="s">
        <v>1189</v>
      </c>
      <c r="J15" s="6" t="s">
        <v>6623</v>
      </c>
      <c r="K15" s="215" t="n">
        <v>2</v>
      </c>
      <c r="L15" s="215" t="s">
        <v>5373</v>
      </c>
      <c r="M15" s="6" t="s">
        <v>6624</v>
      </c>
      <c r="N15" s="215" t="s">
        <v>5386</v>
      </c>
      <c r="O15" s="36" t="s">
        <v>5376</v>
      </c>
      <c r="P15" s="36" t="s">
        <v>587</v>
      </c>
      <c r="Q15" s="36" t="s">
        <v>6625</v>
      </c>
      <c r="R15" s="36" t="s">
        <v>587</v>
      </c>
      <c r="S15" s="36" t="s">
        <v>587</v>
      </c>
      <c r="T15" s="36" t="s">
        <v>587</v>
      </c>
      <c r="U15" s="36" t="s">
        <v>1528</v>
      </c>
      <c r="V15" s="6" t="s">
        <v>587</v>
      </c>
      <c r="W15" s="6" t="s">
        <v>587</v>
      </c>
      <c r="X15" s="186" t="n">
        <f aca="false">IF($O15="Active",SUMPRODUCT(($AH$5:$AH$69=$AH15)*1),0)</f>
        <v>1</v>
      </c>
      <c r="Y15" s="186" t="n">
        <f aca="false">IF(AND($O15="Active",OR($Q15="—",$Q15="")),1,0)</f>
        <v>0</v>
      </c>
      <c r="Z15" s="186" t="n">
        <f aca="false">IF(AND($O15="Active",$L15="利害關係方",OR($R15="—",$R15="")),1,0)</f>
        <v>1</v>
      </c>
      <c r="AH15" s="35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6" t="s">
        <v>6653</v>
      </c>
      <c r="B16" s="6" t="s">
        <v>6654</v>
      </c>
      <c r="C16" s="217" t="n">
        <v>0.302</v>
      </c>
      <c r="D16" s="215"/>
      <c r="E16" s="215"/>
      <c r="F16" s="36" t="s">
        <v>79</v>
      </c>
      <c r="G16" s="36" t="s">
        <v>6655</v>
      </c>
      <c r="H16" s="36" t="s">
        <v>1191</v>
      </c>
      <c r="I16" s="36" t="s">
        <v>1189</v>
      </c>
      <c r="J16" s="6" t="s">
        <v>6623</v>
      </c>
      <c r="K16" s="215" t="n">
        <v>2</v>
      </c>
      <c r="L16" s="215" t="s">
        <v>5373</v>
      </c>
      <c r="M16" s="6" t="s">
        <v>6624</v>
      </c>
      <c r="N16" s="215" t="s">
        <v>5386</v>
      </c>
      <c r="O16" s="36" t="s">
        <v>5376</v>
      </c>
      <c r="P16" s="36" t="s">
        <v>587</v>
      </c>
      <c r="Q16" s="36" t="s">
        <v>6625</v>
      </c>
      <c r="R16" s="36" t="s">
        <v>587</v>
      </c>
      <c r="S16" s="36" t="s">
        <v>587</v>
      </c>
      <c r="T16" s="36" t="s">
        <v>587</v>
      </c>
      <c r="U16" s="36" t="s">
        <v>1528</v>
      </c>
      <c r="V16" s="6" t="s">
        <v>6656</v>
      </c>
      <c r="W16" s="6" t="s">
        <v>587</v>
      </c>
      <c r="X16" s="186" t="n">
        <f aca="false">IF($O16="Active",SUMPRODUCT(($AH$5:$AH$69=$AH16)*1),0)</f>
        <v>1</v>
      </c>
      <c r="Y16" s="186" t="n">
        <f aca="false">IF(AND($O16="Active",OR($Q16="—",$Q16="")),1,0)</f>
        <v>0</v>
      </c>
      <c r="Z16" s="186" t="n">
        <f aca="false">IF(AND($O16="Active",$L16="利害關係方",OR($R16="—",$R16="")),1,0)</f>
        <v>1</v>
      </c>
      <c r="AH16" s="35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6" t="s">
        <v>6657</v>
      </c>
      <c r="B17" s="6" t="s">
        <v>6658</v>
      </c>
      <c r="C17" s="217" t="n">
        <v>4.72</v>
      </c>
      <c r="D17" s="215"/>
      <c r="E17" s="215"/>
      <c r="F17" s="36" t="s">
        <v>6659</v>
      </c>
      <c r="G17" s="36" t="s">
        <v>6660</v>
      </c>
      <c r="H17" s="36" t="s">
        <v>1184</v>
      </c>
      <c r="I17" s="36" t="s">
        <v>1189</v>
      </c>
      <c r="J17" s="6" t="s">
        <v>6661</v>
      </c>
      <c r="K17" s="215" t="n">
        <v>2</v>
      </c>
      <c r="L17" s="215" t="s">
        <v>5477</v>
      </c>
      <c r="M17" s="6" t="s">
        <v>6662</v>
      </c>
      <c r="N17" s="215" t="s">
        <v>5386</v>
      </c>
      <c r="O17" s="36" t="s">
        <v>5376</v>
      </c>
      <c r="P17" s="36" t="s">
        <v>587</v>
      </c>
      <c r="Q17" s="36" t="s">
        <v>6663</v>
      </c>
      <c r="R17" s="36" t="s">
        <v>587</v>
      </c>
      <c r="S17" s="36" t="s">
        <v>587</v>
      </c>
      <c r="T17" s="36" t="s">
        <v>587</v>
      </c>
      <c r="U17" s="36" t="s">
        <v>6664</v>
      </c>
      <c r="V17" s="6" t="s">
        <v>587</v>
      </c>
      <c r="W17" s="19" t="s">
        <v>6665</v>
      </c>
      <c r="X17" s="186" t="n">
        <f aca="false">IF($O17="Active",SUMPRODUCT(($AH$5:$AH$69=$AH17)*1),0)</f>
        <v>1</v>
      </c>
      <c r="Y17" s="186" t="n">
        <f aca="false">IF(AND($O17="Active",OR($Q17="—",$Q17="")),1,0)</f>
        <v>0</v>
      </c>
      <c r="Z17" s="186" t="n">
        <f aca="false">IF(AND($O17="Active",$L17="利害關係方",OR($R17="—",$R17="")),1,0)</f>
        <v>0</v>
      </c>
      <c r="AH17" s="35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6" t="s">
        <v>6666</v>
      </c>
      <c r="B18" s="6" t="s">
        <v>6667</v>
      </c>
      <c r="C18" s="217" t="n">
        <v>9.18</v>
      </c>
      <c r="D18" s="215"/>
      <c r="E18" s="215"/>
      <c r="F18" s="36" t="s">
        <v>6659</v>
      </c>
      <c r="G18" s="36" t="s">
        <v>6660</v>
      </c>
      <c r="H18" s="36" t="s">
        <v>1187</v>
      </c>
      <c r="I18" s="36" t="s">
        <v>1189</v>
      </c>
      <c r="J18" s="6" t="s">
        <v>6661</v>
      </c>
      <c r="K18" s="215" t="n">
        <v>2</v>
      </c>
      <c r="L18" s="215" t="s">
        <v>5477</v>
      </c>
      <c r="M18" s="6" t="s">
        <v>6662</v>
      </c>
      <c r="N18" s="215" t="s">
        <v>5386</v>
      </c>
      <c r="O18" s="36" t="s">
        <v>5376</v>
      </c>
      <c r="P18" s="36" t="s">
        <v>587</v>
      </c>
      <c r="Q18" s="36" t="s">
        <v>6663</v>
      </c>
      <c r="R18" s="36" t="s">
        <v>587</v>
      </c>
      <c r="S18" s="36" t="s">
        <v>587</v>
      </c>
      <c r="T18" s="36" t="s">
        <v>587</v>
      </c>
      <c r="U18" s="36" t="s">
        <v>6664</v>
      </c>
      <c r="V18" s="6" t="s">
        <v>587</v>
      </c>
      <c r="W18" s="19" t="s">
        <v>6665</v>
      </c>
      <c r="X18" s="186" t="n">
        <f aca="false">IF($O18="Active",SUMPRODUCT(($AH$5:$AH$69=$AH18)*1),0)</f>
        <v>1</v>
      </c>
      <c r="Y18" s="186" t="n">
        <f aca="false">IF(AND($O18="Active",OR($Q18="—",$Q18="")),1,0)</f>
        <v>0</v>
      </c>
      <c r="Z18" s="186" t="n">
        <f aca="false">IF(AND($O18="Active",$L18="利害關係方",OR($R18="—",$R18="")),1,0)</f>
        <v>0</v>
      </c>
      <c r="AH18" s="35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6" t="s">
        <v>6668</v>
      </c>
      <c r="B19" s="6" t="s">
        <v>6669</v>
      </c>
      <c r="C19" s="217" t="n">
        <v>1</v>
      </c>
      <c r="D19" s="215"/>
      <c r="E19" s="215"/>
      <c r="F19" s="36" t="s">
        <v>79</v>
      </c>
      <c r="G19" s="215" t="s">
        <v>6670</v>
      </c>
      <c r="H19" s="36" t="s">
        <v>1191</v>
      </c>
      <c r="I19" s="36" t="s">
        <v>1189</v>
      </c>
      <c r="J19" s="6" t="s">
        <v>6671</v>
      </c>
      <c r="K19" s="215" t="n">
        <v>2</v>
      </c>
      <c r="L19" s="215" t="s">
        <v>5373</v>
      </c>
      <c r="M19" s="6" t="s">
        <v>6672</v>
      </c>
      <c r="N19" s="215" t="s">
        <v>5386</v>
      </c>
      <c r="O19" s="36" t="s">
        <v>5376</v>
      </c>
      <c r="P19" s="36" t="s">
        <v>587</v>
      </c>
      <c r="Q19" s="36" t="s">
        <v>6673</v>
      </c>
      <c r="R19" s="36" t="s">
        <v>587</v>
      </c>
      <c r="S19" s="36" t="s">
        <v>587</v>
      </c>
      <c r="T19" s="36" t="s">
        <v>587</v>
      </c>
      <c r="U19" s="36" t="s">
        <v>6674</v>
      </c>
      <c r="V19" s="6" t="s">
        <v>6675</v>
      </c>
      <c r="W19" s="19" t="s">
        <v>6676</v>
      </c>
      <c r="X19" s="186" t="n">
        <f aca="false">IF($O19="Active",SUMPRODUCT(($AH$5:$AH$69=$AH19)*1),0)</f>
        <v>1</v>
      </c>
      <c r="Y19" s="186" t="n">
        <f aca="false">IF(AND($O19="Active",OR($Q19="—",$Q19="")),1,0)</f>
        <v>0</v>
      </c>
      <c r="Z19" s="186" t="n">
        <f aca="false">IF(AND($O19="Active",$L19="利害關係方",OR($R19="—",$R19="")),1,0)</f>
        <v>1</v>
      </c>
      <c r="AH19" s="35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13" t="s">
        <v>6677</v>
      </c>
    </row>
    <row r="2" customFormat="false" ht="15" hidden="false" customHeight="true" outlineLevel="0" collapsed="false">
      <c r="A2" s="223" t="s">
        <v>5347</v>
      </c>
    </row>
    <row r="3" customFormat="false" ht="15" hidden="false" customHeight="true" outlineLevel="0" collapsed="false">
      <c r="A3" s="223" t="s">
        <v>5348</v>
      </c>
    </row>
    <row r="4" customFormat="false" ht="43.5" hidden="false" customHeight="true" outlineLevel="0" collapsed="false">
      <c r="A4" s="77" t="s">
        <v>5349</v>
      </c>
      <c r="B4" s="214" t="s">
        <v>1921</v>
      </c>
      <c r="C4" s="214" t="s">
        <v>5350</v>
      </c>
      <c r="D4" s="214" t="s">
        <v>1115</v>
      </c>
      <c r="E4" s="214" t="s">
        <v>1116</v>
      </c>
      <c r="F4" s="214" t="s">
        <v>63</v>
      </c>
      <c r="G4" s="214" t="s">
        <v>439</v>
      </c>
      <c r="H4" s="214" t="s">
        <v>5351</v>
      </c>
      <c r="I4" s="214" t="s">
        <v>4853</v>
      </c>
      <c r="J4" s="214" t="s">
        <v>4856</v>
      </c>
      <c r="K4" s="214" t="s">
        <v>5027</v>
      </c>
      <c r="L4" s="214" t="s">
        <v>5352</v>
      </c>
      <c r="M4" s="214" t="s">
        <v>5353</v>
      </c>
      <c r="N4" s="214" t="s">
        <v>5354</v>
      </c>
      <c r="O4" s="214" t="s">
        <v>574</v>
      </c>
      <c r="P4" s="214" t="s">
        <v>5355</v>
      </c>
      <c r="Q4" s="77" t="s">
        <v>5356</v>
      </c>
      <c r="R4" s="214" t="s">
        <v>5357</v>
      </c>
      <c r="S4" s="214" t="s">
        <v>5358</v>
      </c>
      <c r="T4" s="77" t="s">
        <v>5359</v>
      </c>
      <c r="U4" s="214" t="s">
        <v>5360</v>
      </c>
      <c r="V4" s="214" t="s">
        <v>5361</v>
      </c>
      <c r="W4" s="214" t="s">
        <v>5362</v>
      </c>
      <c r="X4" s="214" t="s">
        <v>5363</v>
      </c>
      <c r="Y4" s="214" t="s">
        <v>5364</v>
      </c>
      <c r="Z4" s="214" t="s">
        <v>5365</v>
      </c>
      <c r="AH4" s="76" t="s">
        <v>5366</v>
      </c>
    </row>
    <row r="5" customFormat="false" ht="29.25" hidden="false" customHeight="true" outlineLevel="0" collapsed="false">
      <c r="A5" s="36" t="s">
        <v>2434</v>
      </c>
      <c r="B5" s="19" t="s">
        <v>6678</v>
      </c>
      <c r="C5" s="217" t="n">
        <v>0.096</v>
      </c>
      <c r="D5" s="215"/>
      <c r="E5" s="215"/>
      <c r="F5" s="36" t="s">
        <v>79</v>
      </c>
      <c r="G5" s="215" t="s">
        <v>6679</v>
      </c>
      <c r="H5" s="36" t="s">
        <v>1177</v>
      </c>
      <c r="I5" s="36" t="s">
        <v>5413</v>
      </c>
      <c r="J5" s="6" t="s">
        <v>6680</v>
      </c>
      <c r="K5" s="215" t="n">
        <v>1</v>
      </c>
      <c r="L5" s="215" t="s">
        <v>5477</v>
      </c>
      <c r="M5" s="6" t="s">
        <v>6681</v>
      </c>
      <c r="N5" s="215" t="s">
        <v>5902</v>
      </c>
      <c r="O5" s="36" t="s">
        <v>5376</v>
      </c>
      <c r="P5" s="36" t="s">
        <v>587</v>
      </c>
      <c r="Q5" s="36" t="s">
        <v>6682</v>
      </c>
      <c r="R5" s="36" t="s">
        <v>587</v>
      </c>
      <c r="S5" s="36" t="s">
        <v>587</v>
      </c>
      <c r="T5" s="36" t="s">
        <v>587</v>
      </c>
      <c r="U5" s="36" t="s">
        <v>6683</v>
      </c>
      <c r="V5" s="6" t="s">
        <v>6684</v>
      </c>
      <c r="W5" s="19" t="s">
        <v>6685</v>
      </c>
      <c r="X5" s="186" t="n">
        <f aca="false">IF($O5="Active",SUMPRODUCT(($AH$5:$AH$72=$AH5)*1),0)</f>
        <v>1</v>
      </c>
      <c r="Y5" s="186" t="n">
        <f aca="false">IF(AND($O5="Active",OR($Q5="—",$Q5="")),1,0)</f>
        <v>0</v>
      </c>
      <c r="Z5" s="186" t="n">
        <f aca="false">IF(AND($O5="Active",$L5="利害關係方",OR($R5="—",$R5="")),1,0)</f>
        <v>0</v>
      </c>
      <c r="AH5" s="35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6" t="s">
        <v>6686</v>
      </c>
      <c r="B6" s="19" t="s">
        <v>6687</v>
      </c>
      <c r="C6" s="217" t="n">
        <v>0.226</v>
      </c>
      <c r="D6" s="215"/>
      <c r="E6" s="215"/>
      <c r="F6" s="36" t="s">
        <v>79</v>
      </c>
      <c r="G6" s="215" t="s">
        <v>105</v>
      </c>
      <c r="H6" s="36" t="s">
        <v>1221</v>
      </c>
      <c r="I6" s="36" t="s">
        <v>5413</v>
      </c>
      <c r="J6" s="6" t="s">
        <v>6680</v>
      </c>
      <c r="K6" s="215" t="n">
        <v>1</v>
      </c>
      <c r="L6" s="215" t="s">
        <v>5477</v>
      </c>
      <c r="M6" s="6" t="s">
        <v>6681</v>
      </c>
      <c r="N6" s="215" t="s">
        <v>5902</v>
      </c>
      <c r="O6" s="36" t="s">
        <v>5376</v>
      </c>
      <c r="P6" s="36" t="s">
        <v>587</v>
      </c>
      <c r="Q6" s="36" t="s">
        <v>6682</v>
      </c>
      <c r="R6" s="36" t="s">
        <v>587</v>
      </c>
      <c r="S6" s="36" t="s">
        <v>587</v>
      </c>
      <c r="T6" s="36" t="s">
        <v>587</v>
      </c>
      <c r="U6" s="36" t="s">
        <v>6683</v>
      </c>
      <c r="V6" s="6" t="s">
        <v>6684</v>
      </c>
      <c r="W6" s="6" t="s">
        <v>587</v>
      </c>
      <c r="X6" s="186" t="n">
        <f aca="false">IF($O6="Active",SUMPRODUCT(($AH$5:$AH$72=$AH6)*1),0)</f>
        <v>1</v>
      </c>
      <c r="Y6" s="186" t="n">
        <f aca="false">IF(AND($O6="Active",OR($Q6="—",$Q6="")),1,0)</f>
        <v>0</v>
      </c>
      <c r="Z6" s="186" t="n">
        <f aca="false">IF(AND($O6="Active",$L6="利害關係方",OR($R6="—",$R6="")),1,0)</f>
        <v>0</v>
      </c>
      <c r="AH6" s="35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6" t="s">
        <v>6688</v>
      </c>
      <c r="B7" s="19" t="s">
        <v>6689</v>
      </c>
      <c r="C7" s="217" t="n">
        <v>0.123</v>
      </c>
      <c r="D7" s="215"/>
      <c r="E7" s="215"/>
      <c r="F7" s="36" t="s">
        <v>79</v>
      </c>
      <c r="G7" s="215" t="s">
        <v>105</v>
      </c>
      <c r="H7" s="36" t="s">
        <v>1206</v>
      </c>
      <c r="I7" s="36" t="s">
        <v>5413</v>
      </c>
      <c r="J7" s="6" t="s">
        <v>6680</v>
      </c>
      <c r="K7" s="215" t="n">
        <v>1</v>
      </c>
      <c r="L7" s="215" t="s">
        <v>5477</v>
      </c>
      <c r="M7" s="6" t="s">
        <v>6681</v>
      </c>
      <c r="N7" s="215" t="s">
        <v>5902</v>
      </c>
      <c r="O7" s="36" t="s">
        <v>5376</v>
      </c>
      <c r="P7" s="36" t="s">
        <v>587</v>
      </c>
      <c r="Q7" s="36" t="s">
        <v>6682</v>
      </c>
      <c r="R7" s="36" t="s">
        <v>587</v>
      </c>
      <c r="S7" s="36" t="s">
        <v>587</v>
      </c>
      <c r="T7" s="36" t="s">
        <v>587</v>
      </c>
      <c r="U7" s="36" t="s">
        <v>6683</v>
      </c>
      <c r="V7" s="6" t="s">
        <v>587</v>
      </c>
      <c r="W7" s="6" t="s">
        <v>587</v>
      </c>
      <c r="X7" s="186" t="n">
        <f aca="false">IF($O7="Active",SUMPRODUCT(($AH$5:$AH$72=$AH7)*1),0)</f>
        <v>1</v>
      </c>
      <c r="Y7" s="186" t="n">
        <f aca="false">IF(AND($O7="Active",OR($Q7="—",$Q7="")),1,0)</f>
        <v>0</v>
      </c>
      <c r="Z7" s="186" t="n">
        <f aca="false">IF(AND($O7="Active",$L7="利害關係方",OR($R7="—",$R7="")),1,0)</f>
        <v>0</v>
      </c>
      <c r="AH7" s="35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6" t="s">
        <v>6690</v>
      </c>
      <c r="B8" s="6" t="s">
        <v>6691</v>
      </c>
      <c r="C8" s="217" t="n">
        <v>8.4</v>
      </c>
      <c r="D8" s="215"/>
      <c r="E8" s="215"/>
      <c r="F8" s="36" t="s">
        <v>846</v>
      </c>
      <c r="G8" s="215" t="s">
        <v>6692</v>
      </c>
      <c r="H8" s="36" t="s">
        <v>1177</v>
      </c>
      <c r="I8" s="36" t="s">
        <v>5911</v>
      </c>
      <c r="J8" s="6" t="s">
        <v>6693</v>
      </c>
      <c r="K8" s="215" t="n">
        <v>2</v>
      </c>
      <c r="L8" s="215" t="s">
        <v>5373</v>
      </c>
      <c r="M8" s="6" t="s">
        <v>6694</v>
      </c>
      <c r="N8" s="215" t="s">
        <v>5386</v>
      </c>
      <c r="O8" s="36" t="s">
        <v>5460</v>
      </c>
      <c r="P8" s="36" t="s">
        <v>2531</v>
      </c>
      <c r="Q8" s="36" t="s">
        <v>6695</v>
      </c>
      <c r="R8" s="36" t="s">
        <v>587</v>
      </c>
      <c r="S8" s="36" t="s">
        <v>587</v>
      </c>
      <c r="T8" s="36" t="s">
        <v>587</v>
      </c>
      <c r="U8" s="36" t="s">
        <v>6696</v>
      </c>
      <c r="V8" s="6" t="s">
        <v>6697</v>
      </c>
      <c r="W8" s="19" t="s">
        <v>6698</v>
      </c>
      <c r="X8" s="186" t="n">
        <f aca="false">IF($O8="Active",SUMPRODUCT(($AH$5:$AH$72=$AH8)*1),0)</f>
        <v>0</v>
      </c>
      <c r="Y8" s="186" t="n">
        <f aca="false">IF(AND($O8="Active",OR($Q8="—",$Q8="")),1,0)</f>
        <v>0</v>
      </c>
      <c r="Z8" s="186" t="n">
        <f aca="false">IF(AND($O8="Active",$L8="利害關係方",OR($R8="—",$R8="")),1,0)</f>
        <v>0</v>
      </c>
      <c r="AH8" s="35" t="str">
        <f aca="false">IF($O8="Active",$B8&amp;"¦"&amp;$G8&amp;"¦"&amp;$H8,"")</f>
        <v/>
      </c>
    </row>
    <row r="9" customFormat="false" ht="43.5" hidden="false" customHeight="true" outlineLevel="0" collapsed="false">
      <c r="A9" s="36" t="s">
        <v>4292</v>
      </c>
      <c r="B9" s="6" t="s">
        <v>6699</v>
      </c>
      <c r="C9" s="217" t="n">
        <v>3.9</v>
      </c>
      <c r="D9" s="215"/>
      <c r="E9" s="215"/>
      <c r="F9" s="36" t="s">
        <v>846</v>
      </c>
      <c r="G9" s="215" t="s">
        <v>6692</v>
      </c>
      <c r="H9" s="36" t="s">
        <v>1177</v>
      </c>
      <c r="I9" s="36" t="s">
        <v>5911</v>
      </c>
      <c r="J9" s="6" t="s">
        <v>6693</v>
      </c>
      <c r="K9" s="215" t="n">
        <v>2</v>
      </c>
      <c r="L9" s="215" t="s">
        <v>5373</v>
      </c>
      <c r="M9" s="6" t="s">
        <v>6694</v>
      </c>
      <c r="N9" s="215" t="s">
        <v>5386</v>
      </c>
      <c r="O9" s="36" t="s">
        <v>5376</v>
      </c>
      <c r="P9" s="36" t="s">
        <v>587</v>
      </c>
      <c r="Q9" s="36" t="s">
        <v>6695</v>
      </c>
      <c r="R9" s="36" t="s">
        <v>587</v>
      </c>
      <c r="S9" s="36" t="s">
        <v>587</v>
      </c>
      <c r="T9" s="36" t="s">
        <v>587</v>
      </c>
      <c r="U9" s="36" t="s">
        <v>6696</v>
      </c>
      <c r="V9" s="6" t="s">
        <v>6700</v>
      </c>
      <c r="W9" s="19" t="s">
        <v>6701</v>
      </c>
      <c r="X9" s="186" t="n">
        <f aca="false">IF($O9="Active",SUMPRODUCT(($AH$5:$AH$72=$AH9)*1),0)</f>
        <v>1</v>
      </c>
      <c r="Y9" s="186" t="n">
        <f aca="false">IF(AND($O9="Active",OR($Q9="—",$Q9="")),1,0)</f>
        <v>0</v>
      </c>
      <c r="Z9" s="186" t="n">
        <f aca="false">IF(AND($O9="Active",$L9="利害關係方",OR($R9="—",$R9="")),1,0)</f>
        <v>1</v>
      </c>
      <c r="AH9" s="35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6" t="s">
        <v>2480</v>
      </c>
      <c r="B10" s="6" t="s">
        <v>6702</v>
      </c>
      <c r="C10" s="217" t="n">
        <v>12</v>
      </c>
      <c r="D10" s="215"/>
      <c r="E10" s="215"/>
      <c r="F10" s="36" t="s">
        <v>846</v>
      </c>
      <c r="G10" s="215" t="s">
        <v>6703</v>
      </c>
      <c r="H10" s="36" t="s">
        <v>1177</v>
      </c>
      <c r="I10" s="36" t="s">
        <v>5911</v>
      </c>
      <c r="J10" s="6" t="s">
        <v>6693</v>
      </c>
      <c r="K10" s="215" t="n">
        <v>2</v>
      </c>
      <c r="L10" s="215" t="s">
        <v>5373</v>
      </c>
      <c r="M10" s="6" t="s">
        <v>6694</v>
      </c>
      <c r="N10" s="215" t="s">
        <v>5386</v>
      </c>
      <c r="O10" s="36" t="s">
        <v>5376</v>
      </c>
      <c r="P10" s="36" t="s">
        <v>587</v>
      </c>
      <c r="Q10" s="36" t="s">
        <v>6695</v>
      </c>
      <c r="R10" s="36" t="s">
        <v>587</v>
      </c>
      <c r="S10" s="36" t="s">
        <v>587</v>
      </c>
      <c r="T10" s="36" t="s">
        <v>587</v>
      </c>
      <c r="U10" s="36" t="s">
        <v>6696</v>
      </c>
      <c r="V10" s="6" t="s">
        <v>6697</v>
      </c>
      <c r="W10" s="6" t="s">
        <v>587</v>
      </c>
      <c r="X10" s="186" t="n">
        <f aca="false">IF($O10="Active",SUMPRODUCT(($AH$5:$AH$72=$AH10)*1),0)</f>
        <v>1</v>
      </c>
      <c r="Y10" s="186" t="n">
        <f aca="false">IF(AND($O10="Active",OR($Q10="—",$Q10="")),1,0)</f>
        <v>0</v>
      </c>
      <c r="Z10" s="186" t="n">
        <f aca="false">IF(AND($O10="Active",$L10="利害關係方",OR($R10="—",$R10="")),1,0)</f>
        <v>1</v>
      </c>
      <c r="AH10" s="35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6" t="s">
        <v>2444</v>
      </c>
      <c r="B11" s="6" t="s">
        <v>6704</v>
      </c>
      <c r="C11" s="217" t="n">
        <v>13.07</v>
      </c>
      <c r="D11" s="215"/>
      <c r="E11" s="215"/>
      <c r="F11" s="36" t="s">
        <v>846</v>
      </c>
      <c r="G11" s="215" t="s">
        <v>6692</v>
      </c>
      <c r="H11" s="36" t="s">
        <v>1177</v>
      </c>
      <c r="I11" s="36" t="s">
        <v>5911</v>
      </c>
      <c r="J11" s="6" t="s">
        <v>6693</v>
      </c>
      <c r="K11" s="215" t="n">
        <v>2</v>
      </c>
      <c r="L11" s="215" t="s">
        <v>5373</v>
      </c>
      <c r="M11" s="6" t="s">
        <v>6694</v>
      </c>
      <c r="N11" s="215" t="s">
        <v>5386</v>
      </c>
      <c r="O11" s="36" t="s">
        <v>5376</v>
      </c>
      <c r="P11" s="36" t="s">
        <v>587</v>
      </c>
      <c r="Q11" s="36" t="s">
        <v>6695</v>
      </c>
      <c r="R11" s="36" t="s">
        <v>587</v>
      </c>
      <c r="S11" s="36" t="s">
        <v>587</v>
      </c>
      <c r="T11" s="36" t="s">
        <v>587</v>
      </c>
      <c r="U11" s="36" t="s">
        <v>6696</v>
      </c>
      <c r="V11" s="6" t="s">
        <v>6705</v>
      </c>
      <c r="W11" s="6" t="s">
        <v>587</v>
      </c>
      <c r="X11" s="186" t="n">
        <f aca="false">IF($O11="Active",SUMPRODUCT(($AH$5:$AH$72=$AH11)*1),0)</f>
        <v>1</v>
      </c>
      <c r="Y11" s="186" t="n">
        <f aca="false">IF(AND($O11="Active",OR($Q11="—",$Q11="")),1,0)</f>
        <v>0</v>
      </c>
      <c r="Z11" s="186" t="n">
        <f aca="false">IF(AND($O11="Active",$L11="利害關係方",OR($R11="—",$R11="")),1,0)</f>
        <v>1</v>
      </c>
      <c r="AH11" s="35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6" t="s">
        <v>6706</v>
      </c>
      <c r="B12" s="6" t="s">
        <v>6707</v>
      </c>
      <c r="C12" s="217" t="n">
        <v>0.6</v>
      </c>
      <c r="D12" s="215"/>
      <c r="E12" s="215"/>
      <c r="F12" s="36" t="s">
        <v>71</v>
      </c>
      <c r="G12" s="36" t="s">
        <v>6708</v>
      </c>
      <c r="H12" s="36" t="s">
        <v>1177</v>
      </c>
      <c r="I12" s="36" t="s">
        <v>6709</v>
      </c>
      <c r="J12" s="6" t="s">
        <v>6693</v>
      </c>
      <c r="K12" s="215" t="n">
        <v>2</v>
      </c>
      <c r="L12" s="215" t="s">
        <v>5373</v>
      </c>
      <c r="M12" s="6" t="s">
        <v>6694</v>
      </c>
      <c r="N12" s="215" t="s">
        <v>5386</v>
      </c>
      <c r="O12" s="36" t="s">
        <v>5376</v>
      </c>
      <c r="P12" s="36" t="s">
        <v>587</v>
      </c>
      <c r="Q12" s="36" t="s">
        <v>6695</v>
      </c>
      <c r="R12" s="36" t="s">
        <v>587</v>
      </c>
      <c r="S12" s="36" t="s">
        <v>587</v>
      </c>
      <c r="T12" s="36" t="s">
        <v>587</v>
      </c>
      <c r="U12" s="36" t="s">
        <v>6696</v>
      </c>
      <c r="V12" s="6" t="s">
        <v>6705</v>
      </c>
      <c r="W12" s="6" t="s">
        <v>587</v>
      </c>
      <c r="X12" s="186" t="n">
        <f aca="false">IF($O12="Active",SUMPRODUCT(($AH$5:$AH$72=$AH12)*1),0)</f>
        <v>1</v>
      </c>
      <c r="Y12" s="186" t="n">
        <f aca="false">IF(AND($O12="Active",OR($Q12="—",$Q12="")),1,0)</f>
        <v>0</v>
      </c>
      <c r="Z12" s="186" t="n">
        <f aca="false">IF(AND($O12="Active",$L12="利害關係方",OR($R12="—",$R12="")),1,0)</f>
        <v>1</v>
      </c>
      <c r="AH12" s="35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6" t="s">
        <v>6710</v>
      </c>
      <c r="B13" s="6" t="s">
        <v>6711</v>
      </c>
      <c r="C13" s="217" t="n">
        <v>1.9</v>
      </c>
      <c r="D13" s="215"/>
      <c r="E13" s="215"/>
      <c r="F13" s="36" t="s">
        <v>71</v>
      </c>
      <c r="G13" s="215" t="s">
        <v>6712</v>
      </c>
      <c r="H13" s="36" t="s">
        <v>1177</v>
      </c>
      <c r="I13" s="36" t="s">
        <v>5911</v>
      </c>
      <c r="J13" s="6" t="s">
        <v>6693</v>
      </c>
      <c r="K13" s="215" t="n">
        <v>2</v>
      </c>
      <c r="L13" s="215" t="s">
        <v>5373</v>
      </c>
      <c r="M13" s="6" t="s">
        <v>6694</v>
      </c>
      <c r="N13" s="215" t="s">
        <v>5386</v>
      </c>
      <c r="O13" s="36" t="s">
        <v>5376</v>
      </c>
      <c r="P13" s="36" t="s">
        <v>587</v>
      </c>
      <c r="Q13" s="36" t="s">
        <v>6695</v>
      </c>
      <c r="R13" s="36" t="s">
        <v>587</v>
      </c>
      <c r="S13" s="36" t="s">
        <v>587</v>
      </c>
      <c r="T13" s="36" t="s">
        <v>587</v>
      </c>
      <c r="U13" s="36" t="s">
        <v>6696</v>
      </c>
      <c r="V13" s="6" t="s">
        <v>6705</v>
      </c>
      <c r="W13" s="6" t="s">
        <v>587</v>
      </c>
      <c r="X13" s="186" t="n">
        <f aca="false">IF($O13="Active",SUMPRODUCT(($AH$5:$AH$72=$AH13)*1),0)</f>
        <v>1</v>
      </c>
      <c r="Y13" s="186" t="n">
        <f aca="false">IF(AND($O13="Active",OR($Q13="—",$Q13="")),1,0)</f>
        <v>0</v>
      </c>
      <c r="Z13" s="186" t="n">
        <f aca="false">IF(AND($O13="Active",$L13="利害關係方",OR($R13="—",$R13="")),1,0)</f>
        <v>1</v>
      </c>
      <c r="AH13" s="35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6" t="s">
        <v>4778</v>
      </c>
      <c r="B14" s="6" t="s">
        <v>6713</v>
      </c>
      <c r="C14" s="217" t="n">
        <v>6</v>
      </c>
      <c r="D14" s="215"/>
      <c r="E14" s="215"/>
      <c r="F14" s="36" t="s">
        <v>6714</v>
      </c>
      <c r="G14" s="215" t="s">
        <v>6715</v>
      </c>
      <c r="H14" s="36" t="s">
        <v>1177</v>
      </c>
      <c r="I14" s="36" t="s">
        <v>6716</v>
      </c>
      <c r="J14" s="6" t="s">
        <v>6717</v>
      </c>
      <c r="K14" s="215" t="n">
        <v>2</v>
      </c>
      <c r="L14" s="215" t="s">
        <v>5373</v>
      </c>
      <c r="M14" s="6" t="s">
        <v>6718</v>
      </c>
      <c r="N14" s="215" t="s">
        <v>5386</v>
      </c>
      <c r="O14" s="36" t="s">
        <v>5376</v>
      </c>
      <c r="P14" s="36" t="s">
        <v>587</v>
      </c>
      <c r="Q14" s="36" t="s">
        <v>6719</v>
      </c>
      <c r="R14" s="36" t="s">
        <v>587</v>
      </c>
      <c r="S14" s="36" t="s">
        <v>587</v>
      </c>
      <c r="T14" s="36" t="s">
        <v>587</v>
      </c>
      <c r="U14" s="36" t="s">
        <v>6720</v>
      </c>
      <c r="V14" s="6" t="s">
        <v>6721</v>
      </c>
      <c r="W14" s="6" t="s">
        <v>6722</v>
      </c>
      <c r="X14" s="186" t="n">
        <f aca="false">IF($O14="Active",SUMPRODUCT(($AH$5:$AH$72=$AH14)*1),0)</f>
        <v>1</v>
      </c>
      <c r="Y14" s="186" t="n">
        <f aca="false">IF(AND($O14="Active",OR($Q14="—",$Q14="")),1,0)</f>
        <v>0</v>
      </c>
      <c r="Z14" s="186" t="n">
        <f aca="false">IF(AND($O14="Active",$L14="利害關係方",OR($R14="—",$R14="")),1,0)</f>
        <v>1</v>
      </c>
      <c r="AH14" s="35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6" t="s">
        <v>6723</v>
      </c>
      <c r="B15" s="6" t="s">
        <v>6713</v>
      </c>
      <c r="C15" s="217" t="n">
        <v>15</v>
      </c>
      <c r="D15" s="215"/>
      <c r="E15" s="215"/>
      <c r="F15" s="36" t="s">
        <v>6714</v>
      </c>
      <c r="G15" s="215" t="s">
        <v>6724</v>
      </c>
      <c r="H15" s="36" t="s">
        <v>1177</v>
      </c>
      <c r="I15" s="36" t="s">
        <v>6725</v>
      </c>
      <c r="J15" s="6" t="s">
        <v>6726</v>
      </c>
      <c r="K15" s="215" t="n">
        <v>1</v>
      </c>
      <c r="L15" s="215" t="s">
        <v>5373</v>
      </c>
      <c r="M15" s="6" t="s">
        <v>6727</v>
      </c>
      <c r="N15" s="215" t="s">
        <v>5375</v>
      </c>
      <c r="O15" s="36" t="s">
        <v>5376</v>
      </c>
      <c r="P15" s="36" t="s">
        <v>587</v>
      </c>
      <c r="Q15" s="36" t="s">
        <v>6728</v>
      </c>
      <c r="R15" s="36" t="s">
        <v>587</v>
      </c>
      <c r="S15" s="36" t="s">
        <v>5154</v>
      </c>
      <c r="T15" s="36" t="s">
        <v>587</v>
      </c>
      <c r="U15" s="36" t="s">
        <v>6720</v>
      </c>
      <c r="V15" s="19" t="s">
        <v>6729</v>
      </c>
      <c r="W15" s="6" t="s">
        <v>6730</v>
      </c>
      <c r="X15" s="186" t="n">
        <f aca="false">IF($O15="Active",SUMPRODUCT(($AH$5:$AH$72=$AH15)*1),0)</f>
        <v>1</v>
      </c>
      <c r="Y15" s="186" t="n">
        <f aca="false">IF(AND($O15="Active",OR($Q15="—",$Q15="")),1,0)</f>
        <v>0</v>
      </c>
      <c r="Z15" s="186" t="n">
        <f aca="false">IF(AND($O15="Active",$L15="利害關係方",OR($R15="—",$R15="")),1,0)</f>
        <v>1</v>
      </c>
      <c r="AH15" s="35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6" t="s">
        <v>4785</v>
      </c>
      <c r="B16" s="6" t="s">
        <v>6731</v>
      </c>
      <c r="C16" s="217" t="n">
        <v>2.5</v>
      </c>
      <c r="D16" s="215"/>
      <c r="E16" s="215"/>
      <c r="F16" s="36" t="s">
        <v>6732</v>
      </c>
      <c r="G16" s="215" t="s">
        <v>6733</v>
      </c>
      <c r="H16" s="36" t="s">
        <v>1177</v>
      </c>
      <c r="I16" s="36" t="s">
        <v>6734</v>
      </c>
      <c r="J16" s="6" t="s">
        <v>6735</v>
      </c>
      <c r="K16" s="215" t="n">
        <v>2</v>
      </c>
      <c r="L16" s="215" t="s">
        <v>5373</v>
      </c>
      <c r="M16" s="6" t="s">
        <v>6718</v>
      </c>
      <c r="N16" s="215" t="s">
        <v>5386</v>
      </c>
      <c r="O16" s="36" t="s">
        <v>5376</v>
      </c>
      <c r="P16" s="36" t="s">
        <v>587</v>
      </c>
      <c r="Q16" s="36" t="s">
        <v>6736</v>
      </c>
      <c r="R16" s="36" t="s">
        <v>587</v>
      </c>
      <c r="S16" s="36" t="s">
        <v>587</v>
      </c>
      <c r="T16" s="36" t="s">
        <v>587</v>
      </c>
      <c r="U16" s="36" t="s">
        <v>6720</v>
      </c>
      <c r="V16" s="6" t="s">
        <v>6737</v>
      </c>
      <c r="W16" s="6" t="s">
        <v>6738</v>
      </c>
      <c r="X16" s="186" t="n">
        <f aca="false">IF($O16="Active",SUMPRODUCT(($AH$5:$AH$72=$AH16)*1),0)</f>
        <v>1</v>
      </c>
      <c r="Y16" s="186" t="n">
        <f aca="false">IF(AND($O16="Active",OR($Q16="—",$Q16="")),1,0)</f>
        <v>0</v>
      </c>
      <c r="Z16" s="186" t="n">
        <f aca="false">IF(AND($O16="Active",$L16="利害關係方",OR($R16="—",$R16="")),1,0)</f>
        <v>1</v>
      </c>
      <c r="AH16" s="35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6" t="s">
        <v>2547</v>
      </c>
      <c r="B17" s="19" t="s">
        <v>6739</v>
      </c>
      <c r="C17" s="215"/>
      <c r="D17" s="217" t="n">
        <v>10</v>
      </c>
      <c r="E17" s="217" t="n">
        <v>100</v>
      </c>
      <c r="F17" s="36" t="s">
        <v>1755</v>
      </c>
      <c r="G17" s="215" t="s">
        <v>6740</v>
      </c>
      <c r="H17" s="36" t="s">
        <v>6741</v>
      </c>
      <c r="I17" s="36" t="s">
        <v>5911</v>
      </c>
      <c r="J17" s="6" t="s">
        <v>6742</v>
      </c>
      <c r="K17" s="215" t="n">
        <v>1</v>
      </c>
      <c r="L17" s="215" t="s">
        <v>5477</v>
      </c>
      <c r="M17" s="6" t="s">
        <v>6743</v>
      </c>
      <c r="N17" s="215" t="s">
        <v>5375</v>
      </c>
      <c r="O17" s="36" t="s">
        <v>5376</v>
      </c>
      <c r="P17" s="36" t="s">
        <v>587</v>
      </c>
      <c r="Q17" s="36" t="s">
        <v>6744</v>
      </c>
      <c r="R17" s="36" t="s">
        <v>587</v>
      </c>
      <c r="S17" s="36" t="s">
        <v>5154</v>
      </c>
      <c r="T17" s="36" t="s">
        <v>587</v>
      </c>
      <c r="U17" s="36" t="s">
        <v>6720</v>
      </c>
      <c r="V17" s="6" t="s">
        <v>6745</v>
      </c>
      <c r="W17" s="19" t="s">
        <v>6746</v>
      </c>
      <c r="X17" s="186" t="n">
        <f aca="false">IF($O17="Active",SUMPRODUCT(($AH$5:$AH$72=$AH17)*1),0)</f>
        <v>1</v>
      </c>
      <c r="Y17" s="186" t="n">
        <f aca="false">IF(AND($O17="Active",OR($Q17="—",$Q17="")),1,0)</f>
        <v>0</v>
      </c>
      <c r="Z17" s="186" t="n">
        <f aca="false">IF(AND($O17="Active",$L17="利害關係方",OR($R17="—",$R17="")),1,0)</f>
        <v>0</v>
      </c>
      <c r="AH17" s="35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6" t="s">
        <v>6747</v>
      </c>
      <c r="B18" s="6" t="s">
        <v>6748</v>
      </c>
      <c r="C18" s="217" t="n">
        <v>6000</v>
      </c>
      <c r="D18" s="191"/>
      <c r="E18" s="191"/>
      <c r="F18" s="36" t="s">
        <v>6749</v>
      </c>
      <c r="G18" s="191" t="s">
        <v>6750</v>
      </c>
      <c r="H18" s="36" t="s">
        <v>6751</v>
      </c>
      <c r="I18" s="36" t="s">
        <v>6752</v>
      </c>
      <c r="J18" s="6" t="s">
        <v>6753</v>
      </c>
      <c r="K18" s="191" t="n">
        <v>1</v>
      </c>
      <c r="L18" s="191" t="s">
        <v>5373</v>
      </c>
      <c r="M18" s="6" t="s">
        <v>6754</v>
      </c>
      <c r="N18" s="191" t="s">
        <v>5375</v>
      </c>
      <c r="O18" s="36" t="s">
        <v>5376</v>
      </c>
      <c r="P18" s="36" t="s">
        <v>587</v>
      </c>
      <c r="Q18" s="36" t="s">
        <v>6755</v>
      </c>
      <c r="R18" s="36" t="s">
        <v>587</v>
      </c>
      <c r="S18" s="36" t="s">
        <v>587</v>
      </c>
      <c r="T18" s="36" t="s">
        <v>587</v>
      </c>
      <c r="U18" s="36" t="s">
        <v>6025</v>
      </c>
      <c r="V18" s="6" t="s">
        <v>587</v>
      </c>
      <c r="W18" s="6" t="s">
        <v>6756</v>
      </c>
      <c r="X18" s="186" t="n">
        <f aca="false">IF($O18="Active",SUMPRODUCT(($AH$5:$AH$72=$AH18)*1),0)</f>
        <v>1</v>
      </c>
      <c r="Y18" s="186" t="n">
        <f aca="false">IF(AND($O18="Active",OR($Q18="—",$Q18="")),1,0)</f>
        <v>0</v>
      </c>
      <c r="Z18" s="186" t="n">
        <f aca="false">IF(AND($O18="Active",$L18="利害關係方",OR($R18="—",$R18="")),1,0)</f>
        <v>1</v>
      </c>
      <c r="AH18" s="35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6" t="s">
        <v>6757</v>
      </c>
      <c r="B19" s="6" t="s">
        <v>6758</v>
      </c>
      <c r="C19" s="217" t="n">
        <v>400</v>
      </c>
      <c r="D19" s="191"/>
      <c r="E19" s="191"/>
      <c r="F19" s="36" t="s">
        <v>6749</v>
      </c>
      <c r="G19" s="191" t="s">
        <v>6759</v>
      </c>
      <c r="H19" s="36" t="s">
        <v>6751</v>
      </c>
      <c r="I19" s="36" t="s">
        <v>6752</v>
      </c>
      <c r="J19" s="6" t="s">
        <v>6753</v>
      </c>
      <c r="K19" s="191" t="n">
        <v>1</v>
      </c>
      <c r="L19" s="191" t="s">
        <v>5373</v>
      </c>
      <c r="M19" s="6" t="s">
        <v>6754</v>
      </c>
      <c r="N19" s="191" t="s">
        <v>5375</v>
      </c>
      <c r="O19" s="36" t="s">
        <v>5376</v>
      </c>
      <c r="P19" s="36" t="s">
        <v>587</v>
      </c>
      <c r="Q19" s="36" t="s">
        <v>6755</v>
      </c>
      <c r="R19" s="36" t="s">
        <v>587</v>
      </c>
      <c r="S19" s="36" t="s">
        <v>587</v>
      </c>
      <c r="T19" s="36" t="s">
        <v>587</v>
      </c>
      <c r="U19" s="36" t="s">
        <v>6025</v>
      </c>
      <c r="V19" s="6" t="s">
        <v>587</v>
      </c>
      <c r="W19" s="6" t="s">
        <v>6760</v>
      </c>
      <c r="X19" s="186" t="n">
        <f aca="false">IF($O19="Active",SUMPRODUCT(($AH$5:$AH$72=$AH19)*1),0)</f>
        <v>1</v>
      </c>
      <c r="Y19" s="186" t="n">
        <f aca="false">IF(AND($O19="Active",OR($Q19="—",$Q19="")),1,0)</f>
        <v>0</v>
      </c>
      <c r="Z19" s="186" t="n">
        <f aca="false">IF(AND($O19="Active",$L19="利害關係方",OR($R19="—",$R19="")),1,0)</f>
        <v>1</v>
      </c>
      <c r="AH19" s="35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6" t="s">
        <v>6761</v>
      </c>
      <c r="B20" s="6" t="s">
        <v>6762</v>
      </c>
      <c r="C20" s="217" t="n">
        <v>3.5</v>
      </c>
      <c r="D20" s="217" t="n">
        <v>3</v>
      </c>
      <c r="E20" s="217" t="n">
        <v>4</v>
      </c>
      <c r="F20" s="191" t="s">
        <v>6763</v>
      </c>
      <c r="G20" s="191" t="s">
        <v>6764</v>
      </c>
      <c r="H20" s="36" t="s">
        <v>6751</v>
      </c>
      <c r="I20" s="36" t="s">
        <v>6752</v>
      </c>
      <c r="J20" s="6" t="s">
        <v>6753</v>
      </c>
      <c r="K20" s="191" t="n">
        <v>1</v>
      </c>
      <c r="L20" s="191" t="s">
        <v>5373</v>
      </c>
      <c r="M20" s="6" t="s">
        <v>6754</v>
      </c>
      <c r="N20" s="191" t="s">
        <v>5375</v>
      </c>
      <c r="O20" s="36" t="s">
        <v>5376</v>
      </c>
      <c r="P20" s="36" t="s">
        <v>587</v>
      </c>
      <c r="Q20" s="36" t="s">
        <v>6755</v>
      </c>
      <c r="R20" s="36" t="s">
        <v>587</v>
      </c>
      <c r="S20" s="36" t="s">
        <v>587</v>
      </c>
      <c r="T20" s="36" t="s">
        <v>587</v>
      </c>
      <c r="U20" s="36" t="s">
        <v>6025</v>
      </c>
      <c r="V20" s="6" t="s">
        <v>587</v>
      </c>
      <c r="W20" s="6" t="s">
        <v>6765</v>
      </c>
      <c r="X20" s="186" t="n">
        <f aca="false">IF($O20="Active",SUMPRODUCT(($AH$5:$AH$72=$AH20)*1),0)</f>
        <v>1</v>
      </c>
      <c r="Y20" s="186" t="n">
        <f aca="false">IF(AND($O20="Active",OR($Q20="—",$Q20="")),1,0)</f>
        <v>0</v>
      </c>
      <c r="Z20" s="186" t="n">
        <f aca="false">IF(AND($O20="Active",$L20="利害關係方",OR($R20="—",$R20="")),1,0)</f>
        <v>1</v>
      </c>
      <c r="AH20" s="35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6" t="s">
        <v>6766</v>
      </c>
      <c r="B21" s="6" t="s">
        <v>6767</v>
      </c>
      <c r="C21" s="217" t="n">
        <v>0.5</v>
      </c>
      <c r="D21" s="217" t="n">
        <v>0.5</v>
      </c>
      <c r="E21" s="191"/>
      <c r="F21" s="36" t="s">
        <v>79</v>
      </c>
      <c r="G21" s="191" t="s">
        <v>6768</v>
      </c>
      <c r="H21" s="36" t="s">
        <v>6751</v>
      </c>
      <c r="I21" s="36" t="s">
        <v>6752</v>
      </c>
      <c r="J21" s="6" t="s">
        <v>6753</v>
      </c>
      <c r="K21" s="191" t="n">
        <v>1</v>
      </c>
      <c r="L21" s="191" t="s">
        <v>5373</v>
      </c>
      <c r="M21" s="6" t="s">
        <v>6754</v>
      </c>
      <c r="N21" s="191" t="s">
        <v>5375</v>
      </c>
      <c r="O21" s="36" t="s">
        <v>5376</v>
      </c>
      <c r="P21" s="36" t="s">
        <v>587</v>
      </c>
      <c r="Q21" s="36" t="s">
        <v>6755</v>
      </c>
      <c r="R21" s="36" t="s">
        <v>587</v>
      </c>
      <c r="S21" s="36" t="s">
        <v>587</v>
      </c>
      <c r="T21" s="36" t="s">
        <v>587</v>
      </c>
      <c r="U21" s="36" t="s">
        <v>6025</v>
      </c>
      <c r="V21" s="6" t="s">
        <v>587</v>
      </c>
      <c r="W21" s="6" t="s">
        <v>6769</v>
      </c>
      <c r="X21" s="186" t="n">
        <f aca="false">IF($O21="Active",SUMPRODUCT(($AH$5:$AH$72=$AH21)*1),0)</f>
        <v>1</v>
      </c>
      <c r="Y21" s="186" t="n">
        <f aca="false">IF(AND($O21="Active",OR($Q21="—",$Q21="")),1,0)</f>
        <v>0</v>
      </c>
      <c r="Z21" s="186" t="n">
        <f aca="false">IF(AND($O21="Active",$L21="利害關係方",OR($R21="—",$R21="")),1,0)</f>
        <v>1</v>
      </c>
      <c r="AH21" s="35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00.7" hidden="false" customHeight="false" outlineLevel="0" collapsed="false">
      <c r="A22" s="54" t="s">
        <v>2531</v>
      </c>
      <c r="B22" s="6" t="s">
        <v>6770</v>
      </c>
      <c r="C22" s="129" t="n">
        <v>12.6</v>
      </c>
      <c r="D22" s="129" t="n">
        <v>12.3</v>
      </c>
      <c r="E22" s="129" t="n">
        <v>13</v>
      </c>
      <c r="F22" s="54" t="s">
        <v>846</v>
      </c>
      <c r="G22" s="54" t="s">
        <v>6771</v>
      </c>
      <c r="H22" s="54" t="s">
        <v>1177</v>
      </c>
      <c r="I22" s="54" t="s">
        <v>5911</v>
      </c>
      <c r="J22" s="6" t="s">
        <v>6772</v>
      </c>
      <c r="K22" s="53" t="n">
        <v>2</v>
      </c>
      <c r="L22" s="53" t="s">
        <v>5373</v>
      </c>
      <c r="M22" s="6" t="s">
        <v>6773</v>
      </c>
      <c r="N22" s="53" t="s">
        <v>6774</v>
      </c>
      <c r="O22" s="54" t="s">
        <v>5376</v>
      </c>
      <c r="P22" s="54" t="s">
        <v>587</v>
      </c>
      <c r="Q22" s="54" t="s">
        <v>6775</v>
      </c>
      <c r="R22" s="54" t="s">
        <v>587</v>
      </c>
      <c r="S22" s="54" t="s">
        <v>587</v>
      </c>
      <c r="T22" s="54" t="s">
        <v>587</v>
      </c>
      <c r="U22" s="54" t="s">
        <v>6776</v>
      </c>
      <c r="V22" s="6" t="s">
        <v>6777</v>
      </c>
      <c r="W22" s="6" t="s">
        <v>6778</v>
      </c>
      <c r="X22" s="104" t="n">
        <f aca="false">IF($O22="Active",SUMPRODUCT(($AH$5:$AH$72=$AH22)*1),0)</f>
        <v>1</v>
      </c>
      <c r="Y22" s="104" t="n">
        <f aca="false">IF(AND($O22="Active",OR($Q22="—",$Q22="")),1,0)</f>
        <v>0</v>
      </c>
      <c r="Z22" s="104" t="n">
        <f aca="false">IF(AND($O22="Active",$L22="利害關係方",OR($R22="—",$R22="")),1,0)</f>
        <v>1</v>
      </c>
      <c r="AH22" s="53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0" t="s">
        <v>6779</v>
      </c>
    </row>
    <row r="2" customFormat="false" ht="15" hidden="false" customHeight="false" outlineLevel="0" collapsed="false">
      <c r="A2" s="51" t="s">
        <v>6780</v>
      </c>
    </row>
    <row r="4" customFormat="false" ht="15" hidden="false" customHeight="false" outlineLevel="0" collapsed="false">
      <c r="A4" s="52" t="s">
        <v>5349</v>
      </c>
      <c r="B4" s="10" t="s">
        <v>12</v>
      </c>
      <c r="C4" s="10" t="s">
        <v>6781</v>
      </c>
      <c r="D4" s="10" t="s">
        <v>574</v>
      </c>
      <c r="E4" s="10" t="s">
        <v>3040</v>
      </c>
      <c r="F4" s="10" t="s">
        <v>6782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6783</v>
      </c>
      <c r="C5" s="53" t="n">
        <v>5</v>
      </c>
      <c r="D5" s="85" t="str">
        <f aca="false">SRC_HW!$O5</f>
        <v>Active</v>
      </c>
      <c r="E5" s="85" t="n">
        <f aca="false">SRC_HW!$K5</f>
        <v>1</v>
      </c>
      <c r="F5" s="85" t="str">
        <f aca="false">SRC_HW!$S5</f>
        <v>2026-10-05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6783</v>
      </c>
      <c r="C6" s="53" t="n">
        <v>6</v>
      </c>
      <c r="D6" s="85" t="str">
        <f aca="false">SRC_HW!$O6</f>
        <v>Active</v>
      </c>
      <c r="E6" s="85" t="n">
        <f aca="false">SRC_HW!$K6</f>
        <v>3</v>
      </c>
      <c r="F6" s="85" t="str">
        <f aca="false">SRC_HW!$S6</f>
        <v>—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6783</v>
      </c>
      <c r="C7" s="53" t="n">
        <v>7</v>
      </c>
      <c r="D7" s="85" t="str">
        <f aca="false">SRC_HW!$O7</f>
        <v>Active</v>
      </c>
      <c r="E7" s="85" t="n">
        <f aca="false">SRC_HW!$K7</f>
        <v>2</v>
      </c>
      <c r="F7" s="85" t="str">
        <f aca="false">SRC_HW!$S7</f>
        <v>2026-10-05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6783</v>
      </c>
      <c r="C8" s="53" t="n">
        <v>8</v>
      </c>
      <c r="D8" s="85" t="str">
        <f aca="false">SRC_HW!$O8</f>
        <v>Active</v>
      </c>
      <c r="E8" s="85" t="n">
        <f aca="false">SRC_HW!$K8</f>
        <v>1</v>
      </c>
      <c r="F8" s="85" t="str">
        <f aca="false">SRC_HW!$S8</f>
        <v>2026-10-05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6783</v>
      </c>
      <c r="C9" s="53" t="n">
        <v>9</v>
      </c>
      <c r="D9" s="85" t="str">
        <f aca="false">SRC_HW!$O9</f>
        <v>Active</v>
      </c>
      <c r="E9" s="85" t="n">
        <f aca="false">SRC_HW!$K9</f>
        <v>2</v>
      </c>
      <c r="F9" s="85" t="str">
        <f aca="false">SRC_HW!$S9</f>
        <v>2026-10-05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6783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  <c r="F10" s="85" t="str">
        <f aca="false">SRC_HW!$S10</f>
        <v>2026-10-05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6783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  <c r="F11" s="85" t="str">
        <f aca="false">SRC_HW!$S11</f>
        <v>—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6783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  <c r="F12" s="85" t="str">
        <f aca="false">SRC_HW!$S12</f>
        <v>—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6783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  <c r="F13" s="85" t="str">
        <f aca="false">SRC_HW!$S13</f>
        <v>—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6783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  <c r="F14" s="85" t="str">
        <f aca="false">SRC_HW!$S14</f>
        <v>2026-10-05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6783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  <c r="F15" s="85" t="str">
        <f aca="false">SRC_HW!$S15</f>
        <v>2026-10-05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6783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  <c r="F16" s="85" t="str">
        <f aca="false">SRC_HW!$S16</f>
        <v>—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6783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  <c r="F17" s="85" t="str">
        <f aca="false">SRC_HW!$S17</f>
        <v>—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6783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  <c r="F18" s="85" t="str">
        <f aca="false">SRC_HW!$S18</f>
        <v>2026-10-05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6783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  <c r="F19" s="85" t="str">
        <f aca="false">SRC_HW!$S19</f>
        <v>2026-10-05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6783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  <c r="F20" s="85" t="str">
        <f aca="false">SRC_HW!$S20</f>
        <v>—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6783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  <c r="F21" s="85" t="str">
        <f aca="false">SRC_HW!$S21</f>
        <v>—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6783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  <c r="F22" s="85" t="str">
        <f aca="false">SRC_HW!$S22</f>
        <v>—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6783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  <c r="F23" s="85" t="str">
        <f aca="false">SRC_HW!$S23</f>
        <v>—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6783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  <c r="F24" s="85" t="str">
        <f aca="false">SRC_HW!$S24</f>
        <v>—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6783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  <c r="F25" s="85" t="str">
        <f aca="false">SRC_HW!$S25</f>
        <v>—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6783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  <c r="F26" s="85" t="str">
        <f aca="false">SRC_HW!$S26</f>
        <v>2026-10-05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6783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  <c r="F27" s="85" t="str">
        <f aca="false">SRC_HW!$S27</f>
        <v>—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6783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  <c r="F28" s="85" t="str">
        <f aca="false">SRC_HW!$S28</f>
        <v>—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6783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  <c r="F29" s="85" t="str">
        <f aca="false">SRC_HW!$S29</f>
        <v>2026-10-05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6783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  <c r="F30" s="85" t="str">
        <f aca="false">SRC_HW!$S30</f>
        <v>—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6783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  <c r="F31" s="85" t="str">
        <f aca="false">SRC_HW!$S31</f>
        <v>2026-10-05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6783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  <c r="F32" s="85" t="str">
        <f aca="false">SRC_HW!$S32</f>
        <v>2026-10-05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6783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  <c r="F33" s="85" t="str">
        <f aca="false">SRC_HW!$S33</f>
        <v>—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6783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  <c r="F34" s="85" t="str">
        <f aca="false">SRC_HW!$S34</f>
        <v>—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6783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  <c r="F35" s="85" t="str">
        <f aca="false">SRC_HW!$S35</f>
        <v>—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6783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  <c r="F36" s="85" t="str">
        <f aca="false">SRC_HW!$S36</f>
        <v>—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6783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  <c r="F37" s="85" t="str">
        <f aca="false">SRC_HW!$S37</f>
        <v>—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6783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  <c r="F38" s="85" t="str">
        <f aca="false">SRC_HW!$S38</f>
        <v>—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6783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  <c r="F39" s="85" t="str">
        <f aca="false">SRC_HW!$S39</f>
        <v>—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6783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  <c r="F40" s="85" t="str">
        <f aca="false">SRC_HW!$S40</f>
        <v>—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6783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  <c r="F41" s="85" t="str">
        <f aca="false">SRC_HW!$S41</f>
        <v>—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6783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  <c r="F42" s="85" t="str">
        <f aca="false">SRC_HW!$S42</f>
        <v>—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6783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  <c r="F43" s="85" t="str">
        <f aca="false">SRC_HW!$S43</f>
        <v>—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6783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  <c r="F44" s="85" t="str">
        <f aca="false">SRC_HW!$S44</f>
        <v>2026-10-05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6783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  <c r="F45" s="85" t="str">
        <f aca="false">SRC_HW!$S45</f>
        <v>—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6783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  <c r="F46" s="85" t="str">
        <f aca="false">SRC_HW!$S46</f>
        <v>—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6783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  <c r="F47" s="85" t="str">
        <f aca="false">SRC_HW!$S47</f>
        <v>2026-10-05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6783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  <c r="F48" s="85" t="str">
        <f aca="false">SRC_HW!$S48</f>
        <v>—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6783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  <c r="F49" s="85" t="str">
        <f aca="false">SRC_HW!$S49</f>
        <v>—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6783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  <c r="F50" s="85" t="str">
        <f aca="false">SRC_HW!$S50</f>
        <v>—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6783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  <c r="F51" s="85" t="str">
        <f aca="false">SRC_HW!$S51</f>
        <v>2026-10-05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6783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  <c r="F52" s="85" t="str">
        <f aca="false">SRC_HW!$S52</f>
        <v>—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6783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  <c r="F53" s="85" t="str">
        <f aca="false">SRC_HW!$S53</f>
        <v>—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6783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  <c r="F54" s="85" t="str">
        <f aca="false">SRC_HW!$S54</f>
        <v>—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6783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  <c r="F55" s="85" t="str">
        <f aca="false">SRC_HW!$S55</f>
        <v>—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6783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  <c r="F56" s="85" t="str">
        <f aca="false">SRC_HW!$S56</f>
        <v>—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6783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  <c r="F57" s="85" t="str">
        <f aca="false">SRC_HW!$S57</f>
        <v>2026-10-05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6783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  <c r="F58" s="85" t="str">
        <f aca="false">SRC_HW!$S58</f>
        <v>—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6783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  <c r="F59" s="85" t="str">
        <f aca="false">SRC_HW!$S59</f>
        <v>—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6783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  <c r="F60" s="85" t="str">
        <f aca="false">SRC_HW!$S60</f>
        <v>—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6783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  <c r="F61" s="85" t="str">
        <f aca="false">SRC_HW!$S61</f>
        <v>—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6783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  <c r="F62" s="85" t="str">
        <f aca="false">SRC_HW!$S62</f>
        <v>—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6783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  <c r="F63" s="85" t="str">
        <f aca="false">SRC_HW!$S63</f>
        <v>—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6783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  <c r="F64" s="85" t="str">
        <f aca="false">SRC_HW!$S64</f>
        <v>—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6783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  <c r="F65" s="85" t="str">
        <f aca="false">SRC_HW!$S65</f>
        <v>—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6783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  <c r="F66" s="85" t="str">
        <f aca="false">SRC_HW!$S66</f>
        <v>—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6783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  <c r="F67" s="85" t="str">
        <f aca="false">SRC_HW!$S67</f>
        <v>—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6783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  <c r="F68" s="85" t="str">
        <f aca="false">SRC_HW!$S68</f>
        <v>—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6783</v>
      </c>
      <c r="C69" s="53" t="n">
        <v>69</v>
      </c>
      <c r="D69" s="85" t="n">
        <f aca="false">SRC_HW!$O69</f>
        <v>0</v>
      </c>
      <c r="E69" s="85" t="n">
        <f aca="false">SRC_HW!$K69</f>
        <v>0</v>
      </c>
      <c r="F69" s="85" t="n">
        <f aca="false">SRC_HW!$S69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6783</v>
      </c>
      <c r="C70" s="53" t="n">
        <v>70</v>
      </c>
      <c r="D70" s="85" t="n">
        <f aca="false">SRC_HW!$O70</f>
        <v>0</v>
      </c>
      <c r="E70" s="85" t="n">
        <f aca="false">SRC_HW!$K70</f>
        <v>0</v>
      </c>
      <c r="F70" s="85" t="n">
        <f aca="false">SRC_HW!$S70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6783</v>
      </c>
      <c r="C71" s="53" t="n">
        <v>71</v>
      </c>
      <c r="D71" s="85" t="n">
        <f aca="false">SRC_HW!$O71</f>
        <v>0</v>
      </c>
      <c r="E71" s="85" t="n">
        <f aca="false">SRC_HW!$K71</f>
        <v>0</v>
      </c>
      <c r="F71" s="85" t="n">
        <f aca="false">SRC_HW!$S71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6783</v>
      </c>
      <c r="C72" s="53" t="n">
        <v>72</v>
      </c>
      <c r="D72" s="85" t="n">
        <f aca="false">SRC_HW!$O72</f>
        <v>0</v>
      </c>
      <c r="E72" s="85" t="n">
        <f aca="false">SRC_HW!$K72</f>
        <v>0</v>
      </c>
      <c r="F72" s="85" t="n">
        <f aca="false">SRC_HW!$S72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6783</v>
      </c>
      <c r="C73" s="53" t="n">
        <v>73</v>
      </c>
      <c r="D73" s="85" t="n">
        <f aca="false">SRC_HW!$O73</f>
        <v>0</v>
      </c>
      <c r="E73" s="85" t="n">
        <f aca="false">SRC_HW!$K73</f>
        <v>0</v>
      </c>
      <c r="F73" s="85" t="n">
        <f aca="false">SRC_HW!$S73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6783</v>
      </c>
      <c r="C74" s="53" t="n">
        <v>74</v>
      </c>
      <c r="D74" s="85" t="n">
        <f aca="false">SRC_HW!$O74</f>
        <v>0</v>
      </c>
      <c r="E74" s="85" t="n">
        <f aca="false">SRC_HW!$K74</f>
        <v>0</v>
      </c>
      <c r="F74" s="85" t="n">
        <f aca="false">SRC_HW!$S74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6783</v>
      </c>
      <c r="C75" s="53" t="n">
        <v>75</v>
      </c>
      <c r="D75" s="85" t="n">
        <f aca="false">SRC_HW!$O75</f>
        <v>0</v>
      </c>
      <c r="E75" s="85" t="n">
        <f aca="false">SRC_HW!$K75</f>
        <v>0</v>
      </c>
      <c r="F75" s="85" t="n">
        <f aca="false">SRC_HW!$S75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6783</v>
      </c>
      <c r="C76" s="53" t="n">
        <v>76</v>
      </c>
      <c r="D76" s="85" t="n">
        <f aca="false">SRC_HW!$O76</f>
        <v>0</v>
      </c>
      <c r="E76" s="85" t="n">
        <f aca="false">SRC_HW!$K76</f>
        <v>0</v>
      </c>
      <c r="F76" s="85" t="n">
        <f aca="false">SRC_HW!$S76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6783</v>
      </c>
      <c r="C77" s="53" t="n">
        <v>77</v>
      </c>
      <c r="D77" s="85" t="n">
        <f aca="false">SRC_HW!$O77</f>
        <v>0</v>
      </c>
      <c r="E77" s="85" t="n">
        <f aca="false">SRC_HW!$K77</f>
        <v>0</v>
      </c>
      <c r="F77" s="85" t="n">
        <f aca="false">SRC_HW!$S77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6783</v>
      </c>
      <c r="C78" s="53" t="n">
        <v>78</v>
      </c>
      <c r="D78" s="85" t="n">
        <f aca="false">SRC_HW!$O78</f>
        <v>0</v>
      </c>
      <c r="E78" s="85" t="n">
        <f aca="false">SRC_HW!$K78</f>
        <v>0</v>
      </c>
      <c r="F78" s="85" t="n">
        <f aca="false">SRC_HW!$S78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6783</v>
      </c>
      <c r="C79" s="53" t="n">
        <v>79</v>
      </c>
      <c r="D79" s="85" t="n">
        <f aca="false">SRC_HW!$O79</f>
        <v>0</v>
      </c>
      <c r="E79" s="85" t="n">
        <f aca="false">SRC_HW!$K79</f>
        <v>0</v>
      </c>
      <c r="F79" s="85" t="n">
        <f aca="false">SRC_HW!$S79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6783</v>
      </c>
      <c r="C80" s="53" t="n">
        <v>80</v>
      </c>
      <c r="D80" s="85" t="n">
        <f aca="false">SRC_HW!$O80</f>
        <v>0</v>
      </c>
      <c r="E80" s="85" t="n">
        <f aca="false">SRC_HW!$K80</f>
        <v>0</v>
      </c>
      <c r="F80" s="85" t="n">
        <f aca="false">SRC_HW!$S80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6783</v>
      </c>
      <c r="C81" s="53" t="n">
        <v>81</v>
      </c>
      <c r="D81" s="85" t="n">
        <f aca="false">SRC_HW!$O81</f>
        <v>0</v>
      </c>
      <c r="E81" s="85" t="n">
        <f aca="false">SRC_HW!$K81</f>
        <v>0</v>
      </c>
      <c r="F81" s="85" t="n">
        <f aca="false">SRC_HW!$S81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6783</v>
      </c>
      <c r="C82" s="53" t="n">
        <v>82</v>
      </c>
      <c r="D82" s="85" t="n">
        <f aca="false">SRC_HW!$O82</f>
        <v>0</v>
      </c>
      <c r="E82" s="85" t="n">
        <f aca="false">SRC_HW!$K82</f>
        <v>0</v>
      </c>
      <c r="F82" s="85" t="n">
        <f aca="false">SRC_HW!$S82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6783</v>
      </c>
      <c r="C83" s="53" t="n">
        <v>83</v>
      </c>
      <c r="D83" s="85" t="n">
        <f aca="false">SRC_HW!$O83</f>
        <v>0</v>
      </c>
      <c r="E83" s="85" t="n">
        <f aca="false">SRC_HW!$K83</f>
        <v>0</v>
      </c>
      <c r="F83" s="85" t="n">
        <f aca="false">SRC_HW!$S83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6783</v>
      </c>
      <c r="C84" s="53" t="n">
        <v>84</v>
      </c>
      <c r="D84" s="85" t="n">
        <f aca="false">SRC_HW!$O84</f>
        <v>0</v>
      </c>
      <c r="E84" s="85" t="n">
        <f aca="false">SRC_HW!$K84</f>
        <v>0</v>
      </c>
      <c r="F84" s="85" t="n">
        <f aca="false">SRC_HW!$S84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6783</v>
      </c>
      <c r="C85" s="53" t="n">
        <v>85</v>
      </c>
      <c r="D85" s="85" t="n">
        <f aca="false">SRC_HW!$O85</f>
        <v>0</v>
      </c>
      <c r="E85" s="85" t="n">
        <f aca="false">SRC_HW!$K85</f>
        <v>0</v>
      </c>
      <c r="F85" s="85" t="n">
        <f aca="false">SRC_HW!$S85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6783</v>
      </c>
      <c r="C86" s="53" t="n">
        <v>86</v>
      </c>
      <c r="D86" s="85" t="n">
        <f aca="false">SRC_HW!$O86</f>
        <v>0</v>
      </c>
      <c r="E86" s="85" t="n">
        <f aca="false">SRC_HW!$K86</f>
        <v>0</v>
      </c>
      <c r="F86" s="85" t="n">
        <f aca="false">SRC_HW!$S86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6783</v>
      </c>
      <c r="C87" s="53" t="n">
        <v>87</v>
      </c>
      <c r="D87" s="85" t="n">
        <f aca="false">SRC_HW!$O87</f>
        <v>0</v>
      </c>
      <c r="E87" s="85" t="n">
        <f aca="false">SRC_HW!$K87</f>
        <v>0</v>
      </c>
      <c r="F87" s="85" t="n">
        <f aca="false">SRC_HW!$S87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6783</v>
      </c>
      <c r="C88" s="53" t="n">
        <v>88</v>
      </c>
      <c r="D88" s="85" t="n">
        <f aca="false">SRC_HW!$O88</f>
        <v>0</v>
      </c>
      <c r="E88" s="85" t="n">
        <f aca="false">SRC_HW!$K88</f>
        <v>0</v>
      </c>
      <c r="F88" s="85" t="n">
        <f aca="false">SRC_HW!$S88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6783</v>
      </c>
      <c r="C89" s="53" t="n">
        <v>89</v>
      </c>
      <c r="D89" s="85" t="n">
        <f aca="false">SRC_HW!$O89</f>
        <v>0</v>
      </c>
      <c r="E89" s="85" t="n">
        <f aca="false">SRC_HW!$K89</f>
        <v>0</v>
      </c>
      <c r="F89" s="85" t="n">
        <f aca="false">SRC_HW!$S89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6783</v>
      </c>
      <c r="C90" s="53" t="n">
        <v>90</v>
      </c>
      <c r="D90" s="85" t="n">
        <f aca="false">SRC_HW!$O90</f>
        <v>0</v>
      </c>
      <c r="E90" s="85" t="n">
        <f aca="false">SRC_HW!$K90</f>
        <v>0</v>
      </c>
      <c r="F90" s="85" t="n">
        <f aca="false">SRC_HW!$S90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6783</v>
      </c>
      <c r="C91" s="53" t="n">
        <v>91</v>
      </c>
      <c r="D91" s="85" t="n">
        <f aca="false">SRC_HW!$O91</f>
        <v>0</v>
      </c>
      <c r="E91" s="85" t="n">
        <f aca="false">SRC_HW!$K91</f>
        <v>0</v>
      </c>
      <c r="F91" s="85" t="n">
        <f aca="false">SRC_HW!$S91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6783</v>
      </c>
      <c r="C92" s="53" t="n">
        <v>92</v>
      </c>
      <c r="D92" s="85" t="n">
        <f aca="false">SRC_HW!$O92</f>
        <v>0</v>
      </c>
      <c r="E92" s="85" t="n">
        <f aca="false">SRC_HW!$K92</f>
        <v>0</v>
      </c>
      <c r="F92" s="85" t="n">
        <f aca="false">SRC_HW!$S92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6783</v>
      </c>
      <c r="C93" s="53" t="n">
        <v>93</v>
      </c>
      <c r="D93" s="85" t="n">
        <f aca="false">SRC_HW!$O93</f>
        <v>0</v>
      </c>
      <c r="E93" s="85" t="n">
        <f aca="false">SRC_HW!$K93</f>
        <v>0</v>
      </c>
      <c r="F93" s="85" t="n">
        <f aca="false">SRC_HW!$S93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6783</v>
      </c>
      <c r="C94" s="53" t="n">
        <v>94</v>
      </c>
      <c r="D94" s="85" t="n">
        <f aca="false">SRC_HW!$O94</f>
        <v>0</v>
      </c>
      <c r="E94" s="85" t="n">
        <f aca="false">SRC_HW!$K94</f>
        <v>0</v>
      </c>
      <c r="F94" s="85" t="n">
        <f aca="false">SRC_HW!$S94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6783</v>
      </c>
      <c r="C95" s="53" t="n">
        <v>95</v>
      </c>
      <c r="D95" s="85" t="n">
        <f aca="false">SRC_HW!$O95</f>
        <v>0</v>
      </c>
      <c r="E95" s="85" t="n">
        <f aca="false">SRC_HW!$K95</f>
        <v>0</v>
      </c>
      <c r="F95" s="85" t="n">
        <f aca="false">SRC_HW!$S95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6783</v>
      </c>
      <c r="C96" s="53" t="n">
        <v>96</v>
      </c>
      <c r="D96" s="85" t="n">
        <f aca="false">SRC_HW!$O96</f>
        <v>0</v>
      </c>
      <c r="E96" s="85" t="n">
        <f aca="false">SRC_HW!$K96</f>
        <v>0</v>
      </c>
      <c r="F96" s="85" t="n">
        <f aca="false">SRC_HW!$S96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6783</v>
      </c>
      <c r="C97" s="53" t="n">
        <v>97</v>
      </c>
      <c r="D97" s="85" t="n">
        <f aca="false">SRC_HW!$O97</f>
        <v>0</v>
      </c>
      <c r="E97" s="85" t="n">
        <f aca="false">SRC_HW!$K97</f>
        <v>0</v>
      </c>
      <c r="F97" s="85" t="n">
        <f aca="false">SRC_HW!$S97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6783</v>
      </c>
      <c r="C98" s="53" t="n">
        <v>98</v>
      </c>
      <c r="D98" s="85" t="n">
        <f aca="false">SRC_HW!$O98</f>
        <v>0</v>
      </c>
      <c r="E98" s="85" t="n">
        <f aca="false">SRC_HW!$K98</f>
        <v>0</v>
      </c>
      <c r="F98" s="85" t="n">
        <f aca="false">SRC_HW!$S98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6783</v>
      </c>
      <c r="C99" s="53" t="n">
        <v>99</v>
      </c>
      <c r="D99" s="85" t="n">
        <f aca="false">SRC_HW!$O99</f>
        <v>0</v>
      </c>
      <c r="E99" s="85" t="n">
        <f aca="false">SRC_HW!$K99</f>
        <v>0</v>
      </c>
      <c r="F99" s="85" t="n">
        <f aca="false">SRC_HW!$S99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6783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  <c r="F100" s="85" t="n">
        <f aca="false">SRC_HW!$S100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6783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  <c r="F101" s="85" t="n">
        <f aca="false">SRC_HW!$S101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6783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  <c r="F102" s="85" t="n">
        <f aca="false">SRC_HW!$S102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6783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  <c r="F103" s="85" t="n">
        <f aca="false">SRC_HW!$S103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6783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  <c r="F104" s="85" t="n">
        <f aca="false">SRC_HW!$S104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6783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  <c r="F105" s="85" t="n">
        <f aca="false">SRC_HW!$S105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6783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  <c r="F106" s="85" t="n">
        <f aca="false">SRC_HW!$S106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6783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  <c r="F107" s="85" t="n">
        <f aca="false">SRC_HW!$S107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6783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  <c r="F108" s="85" t="n">
        <f aca="false">SRC_HW!$S108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6783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  <c r="F109" s="85" t="n">
        <f aca="false">SRC_HW!$S109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6783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  <c r="F110" s="85" t="n">
        <f aca="false">SRC_HW!$S110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6783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  <c r="F111" s="85" t="n">
        <f aca="false">SRC_HW!$S111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6783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  <c r="F112" s="85" t="n">
        <f aca="false">SRC_HW!$S112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6783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  <c r="F113" s="85" t="n">
        <f aca="false">SRC_HW!$S113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6783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  <c r="F114" s="85" t="n">
        <f aca="false">SRC_HW!$S114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6783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  <c r="F115" s="85" t="n">
        <f aca="false">SRC_HW!$S115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6783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  <c r="F116" s="85" t="n">
        <f aca="false">SRC_HW!$S116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6783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  <c r="F117" s="85" t="n">
        <f aca="false">SRC_HW!$S117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6783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  <c r="F118" s="85" t="n">
        <f aca="false">SRC_HW!$S118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6784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  <c r="F119" s="85" t="str">
        <f aca="false">SRC_DC!$S5</f>
        <v>—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6784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  <c r="F120" s="85" t="str">
        <f aca="false">SRC_DC!$S6</f>
        <v>—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6784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  <c r="F121" s="85" t="str">
        <f aca="false">SRC_DC!$S7</f>
        <v>—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6784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  <c r="F122" s="85" t="str">
        <f aca="false">SRC_DC!$S8</f>
        <v>—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6784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  <c r="F123" s="85" t="str">
        <f aca="false">SRC_DC!$S9</f>
        <v>—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6784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  <c r="F124" s="85" t="str">
        <f aca="false">SRC_DC!$S10</f>
        <v>—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6784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  <c r="F125" s="85" t="str">
        <f aca="false">SRC_DC!$S11</f>
        <v>—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6784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  <c r="F126" s="85" t="str">
        <f aca="false">SRC_DC!$S12</f>
        <v>—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6784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  <c r="F127" s="85" t="str">
        <f aca="false">SRC_DC!$S13</f>
        <v>—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6784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  <c r="F128" s="85" t="str">
        <f aca="false">SRC_DC!$S14</f>
        <v>—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6784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  <c r="F129" s="85" t="str">
        <f aca="false">SRC_DC!$S15</f>
        <v>—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6784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  <c r="F130" s="85" t="str">
        <f aca="false">SRC_DC!$S16</f>
        <v>—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6784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  <c r="F131" s="85" t="str">
        <f aca="false">SRC_DC!$S17</f>
        <v>—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6784</v>
      </c>
      <c r="C132" s="53" t="n">
        <v>18</v>
      </c>
      <c r="D132" s="85" t="n">
        <f aca="false">SRC_DC!$O18</f>
        <v>0</v>
      </c>
      <c r="E132" s="85" t="n">
        <f aca="false">SRC_DC!$K18</f>
        <v>0</v>
      </c>
      <c r="F132" s="85" t="n">
        <f aca="false">SRC_DC!$S18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6784</v>
      </c>
      <c r="C133" s="53" t="n">
        <v>19</v>
      </c>
      <c r="D133" s="85" t="n">
        <f aca="false">SRC_DC!$O19</f>
        <v>0</v>
      </c>
      <c r="E133" s="85" t="n">
        <f aca="false">SRC_DC!$K19</f>
        <v>0</v>
      </c>
      <c r="F133" s="85" t="n">
        <f aca="false">SRC_DC!$S19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6784</v>
      </c>
      <c r="C134" s="53" t="n">
        <v>20</v>
      </c>
      <c r="D134" s="85" t="n">
        <f aca="false">SRC_DC!$O20</f>
        <v>0</v>
      </c>
      <c r="E134" s="85" t="n">
        <f aca="false">SRC_DC!$K20</f>
        <v>0</v>
      </c>
      <c r="F134" s="85" t="n">
        <f aca="false">SRC_DC!$S20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6784</v>
      </c>
      <c r="C135" s="53" t="n">
        <v>21</v>
      </c>
      <c r="D135" s="85" t="n">
        <f aca="false">SRC_DC!$O21</f>
        <v>0</v>
      </c>
      <c r="E135" s="85" t="n">
        <f aca="false">SRC_DC!$K21</f>
        <v>0</v>
      </c>
      <c r="F135" s="85" t="n">
        <f aca="false">SRC_DC!$S21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6784</v>
      </c>
      <c r="C136" s="53" t="n">
        <v>22</v>
      </c>
      <c r="D136" s="85" t="n">
        <f aca="false">SRC_DC!$O22</f>
        <v>0</v>
      </c>
      <c r="E136" s="85" t="n">
        <f aca="false">SRC_DC!$K22</f>
        <v>0</v>
      </c>
      <c r="F136" s="85" t="n">
        <f aca="false">SRC_DC!$S22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6784</v>
      </c>
      <c r="C137" s="53" t="n">
        <v>23</v>
      </c>
      <c r="D137" s="85" t="n">
        <f aca="false">SRC_DC!$O23</f>
        <v>0</v>
      </c>
      <c r="E137" s="85" t="n">
        <f aca="false">SRC_DC!$K23</f>
        <v>0</v>
      </c>
      <c r="F137" s="85" t="n">
        <f aca="false">SRC_DC!$S23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6784</v>
      </c>
      <c r="C138" s="53" t="n">
        <v>24</v>
      </c>
      <c r="D138" s="85" t="n">
        <f aca="false">SRC_DC!$O24</f>
        <v>0</v>
      </c>
      <c r="E138" s="85" t="n">
        <f aca="false">SRC_DC!$K24</f>
        <v>0</v>
      </c>
      <c r="F138" s="85" t="n">
        <f aca="false">SRC_DC!$S24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6784</v>
      </c>
      <c r="C139" s="53" t="n">
        <v>25</v>
      </c>
      <c r="D139" s="85" t="n">
        <f aca="false">SRC_DC!$O25</f>
        <v>0</v>
      </c>
      <c r="E139" s="85" t="n">
        <f aca="false">SRC_DC!$K25</f>
        <v>0</v>
      </c>
      <c r="F139" s="85" t="n">
        <f aca="false">SRC_DC!$S25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6784</v>
      </c>
      <c r="C140" s="53" t="n">
        <v>26</v>
      </c>
      <c r="D140" s="85" t="n">
        <f aca="false">SRC_DC!$O26</f>
        <v>0</v>
      </c>
      <c r="E140" s="85" t="n">
        <f aca="false">SRC_DC!$K26</f>
        <v>0</v>
      </c>
      <c r="F140" s="85" t="n">
        <f aca="false">SRC_DC!$S26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6784</v>
      </c>
      <c r="C141" s="53" t="n">
        <v>27</v>
      </c>
      <c r="D141" s="85" t="n">
        <f aca="false">SRC_DC!$O27</f>
        <v>0</v>
      </c>
      <c r="E141" s="85" t="n">
        <f aca="false">SRC_DC!$K27</f>
        <v>0</v>
      </c>
      <c r="F141" s="85" t="n">
        <f aca="false">SRC_DC!$S27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6784</v>
      </c>
      <c r="C142" s="53" t="n">
        <v>28</v>
      </c>
      <c r="D142" s="85" t="n">
        <f aca="false">SRC_DC!$O28</f>
        <v>0</v>
      </c>
      <c r="E142" s="85" t="n">
        <f aca="false">SRC_DC!$K28</f>
        <v>0</v>
      </c>
      <c r="F142" s="85" t="n">
        <f aca="false">SRC_DC!$S28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6784</v>
      </c>
      <c r="C143" s="53" t="n">
        <v>29</v>
      </c>
      <c r="D143" s="85" t="n">
        <f aca="false">SRC_DC!$O29</f>
        <v>0</v>
      </c>
      <c r="E143" s="85" t="n">
        <f aca="false">SRC_DC!$K29</f>
        <v>0</v>
      </c>
      <c r="F143" s="85" t="n">
        <f aca="false">SRC_DC!$S29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6784</v>
      </c>
      <c r="C144" s="53" t="n">
        <v>30</v>
      </c>
      <c r="D144" s="85" t="n">
        <f aca="false">SRC_DC!$O30</f>
        <v>0</v>
      </c>
      <c r="E144" s="85" t="n">
        <f aca="false">SRC_DC!$K30</f>
        <v>0</v>
      </c>
      <c r="F144" s="85" t="n">
        <f aca="false">SRC_DC!$S30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6784</v>
      </c>
      <c r="C145" s="53" t="n">
        <v>31</v>
      </c>
      <c r="D145" s="85" t="n">
        <f aca="false">SRC_DC!$O31</f>
        <v>0</v>
      </c>
      <c r="E145" s="85" t="n">
        <f aca="false">SRC_DC!$K31</f>
        <v>0</v>
      </c>
      <c r="F145" s="85" t="n">
        <f aca="false">SRC_DC!$S31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6784</v>
      </c>
      <c r="C146" s="53" t="n">
        <v>32</v>
      </c>
      <c r="D146" s="85" t="n">
        <f aca="false">SRC_DC!$O32</f>
        <v>0</v>
      </c>
      <c r="E146" s="85" t="n">
        <f aca="false">SRC_DC!$K32</f>
        <v>0</v>
      </c>
      <c r="F146" s="85" t="n">
        <f aca="false">SRC_DC!$S32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6784</v>
      </c>
      <c r="C147" s="53" t="n">
        <v>33</v>
      </c>
      <c r="D147" s="85" t="n">
        <f aca="false">SRC_DC!$O33</f>
        <v>0</v>
      </c>
      <c r="E147" s="85" t="n">
        <f aca="false">SRC_DC!$K33</f>
        <v>0</v>
      </c>
      <c r="F147" s="85" t="n">
        <f aca="false">SRC_DC!$S33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6784</v>
      </c>
      <c r="C148" s="53" t="n">
        <v>34</v>
      </c>
      <c r="D148" s="85" t="n">
        <f aca="false">SRC_DC!$O34</f>
        <v>0</v>
      </c>
      <c r="E148" s="85" t="n">
        <f aca="false">SRC_DC!$K34</f>
        <v>0</v>
      </c>
      <c r="F148" s="85" t="n">
        <f aca="false">SRC_DC!$S34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6784</v>
      </c>
      <c r="C149" s="53" t="n">
        <v>35</v>
      </c>
      <c r="D149" s="85" t="n">
        <f aca="false">SRC_DC!$O35</f>
        <v>0</v>
      </c>
      <c r="E149" s="85" t="n">
        <f aca="false">SRC_DC!$K35</f>
        <v>0</v>
      </c>
      <c r="F149" s="85" t="n">
        <f aca="false">SRC_DC!$S35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6784</v>
      </c>
      <c r="C150" s="53" t="n">
        <v>36</v>
      </c>
      <c r="D150" s="85" t="n">
        <f aca="false">SRC_DC!$O36</f>
        <v>0</v>
      </c>
      <c r="E150" s="85" t="n">
        <f aca="false">SRC_DC!$K36</f>
        <v>0</v>
      </c>
      <c r="F150" s="85" t="n">
        <f aca="false">SRC_DC!$S36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6784</v>
      </c>
      <c r="C151" s="53" t="n">
        <v>37</v>
      </c>
      <c r="D151" s="85" t="n">
        <f aca="false">SRC_DC!$O37</f>
        <v>0</v>
      </c>
      <c r="E151" s="85" t="n">
        <f aca="false">SRC_DC!$K37</f>
        <v>0</v>
      </c>
      <c r="F151" s="85" t="n">
        <f aca="false">SRC_DC!$S37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6784</v>
      </c>
      <c r="C152" s="53" t="n">
        <v>38</v>
      </c>
      <c r="D152" s="85" t="n">
        <f aca="false">SRC_DC!$O38</f>
        <v>0</v>
      </c>
      <c r="E152" s="85" t="n">
        <f aca="false">SRC_DC!$K38</f>
        <v>0</v>
      </c>
      <c r="F152" s="85" t="n">
        <f aca="false">SRC_DC!$S38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6784</v>
      </c>
      <c r="C153" s="53" t="n">
        <v>39</v>
      </c>
      <c r="D153" s="85" t="n">
        <f aca="false">SRC_DC!$O39</f>
        <v>0</v>
      </c>
      <c r="E153" s="85" t="n">
        <f aca="false">SRC_DC!$K39</f>
        <v>0</v>
      </c>
      <c r="F153" s="85" t="n">
        <f aca="false">SRC_DC!$S39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6784</v>
      </c>
      <c r="C154" s="53" t="n">
        <v>40</v>
      </c>
      <c r="D154" s="85" t="n">
        <f aca="false">SRC_DC!$O40</f>
        <v>0</v>
      </c>
      <c r="E154" s="85" t="n">
        <f aca="false">SRC_DC!$K40</f>
        <v>0</v>
      </c>
      <c r="F154" s="85" t="n">
        <f aca="false">SRC_DC!$S40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6784</v>
      </c>
      <c r="C155" s="53" t="n">
        <v>41</v>
      </c>
      <c r="D155" s="85" t="n">
        <f aca="false">SRC_DC!$O41</f>
        <v>0</v>
      </c>
      <c r="E155" s="85" t="n">
        <f aca="false">SRC_DC!$K41</f>
        <v>0</v>
      </c>
      <c r="F155" s="85" t="n">
        <f aca="false">SRC_DC!$S41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6784</v>
      </c>
      <c r="C156" s="53" t="n">
        <v>42</v>
      </c>
      <c r="D156" s="85" t="n">
        <f aca="false">SRC_DC!$O42</f>
        <v>0</v>
      </c>
      <c r="E156" s="85" t="n">
        <f aca="false">SRC_DC!$K42</f>
        <v>0</v>
      </c>
      <c r="F156" s="85" t="n">
        <f aca="false">SRC_DC!$S42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6784</v>
      </c>
      <c r="C157" s="53" t="n">
        <v>43</v>
      </c>
      <c r="D157" s="85" t="n">
        <f aca="false">SRC_DC!$O43</f>
        <v>0</v>
      </c>
      <c r="E157" s="85" t="n">
        <f aca="false">SRC_DC!$K43</f>
        <v>0</v>
      </c>
      <c r="F157" s="85" t="n">
        <f aca="false">SRC_DC!$S43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6784</v>
      </c>
      <c r="C158" s="53" t="n">
        <v>44</v>
      </c>
      <c r="D158" s="85" t="n">
        <f aca="false">SRC_DC!$O44</f>
        <v>0</v>
      </c>
      <c r="E158" s="85" t="n">
        <f aca="false">SRC_DC!$K44</f>
        <v>0</v>
      </c>
      <c r="F158" s="85" t="n">
        <f aca="false">SRC_DC!$S44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6784</v>
      </c>
      <c r="C159" s="53" t="n">
        <v>45</v>
      </c>
      <c r="D159" s="85" t="n">
        <f aca="false">SRC_DC!$O45</f>
        <v>0</v>
      </c>
      <c r="E159" s="85" t="n">
        <f aca="false">SRC_DC!$K45</f>
        <v>0</v>
      </c>
      <c r="F159" s="85" t="n">
        <f aca="false">SRC_DC!$S45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6784</v>
      </c>
      <c r="C160" s="53" t="n">
        <v>46</v>
      </c>
      <c r="D160" s="85" t="n">
        <f aca="false">SRC_DC!$O46</f>
        <v>0</v>
      </c>
      <c r="E160" s="85" t="n">
        <f aca="false">SRC_DC!$K46</f>
        <v>0</v>
      </c>
      <c r="F160" s="85" t="n">
        <f aca="false">SRC_DC!$S46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6784</v>
      </c>
      <c r="C161" s="53" t="n">
        <v>47</v>
      </c>
      <c r="D161" s="85" t="n">
        <f aca="false">SRC_DC!$O47</f>
        <v>0</v>
      </c>
      <c r="E161" s="85" t="n">
        <f aca="false">SRC_DC!$K47</f>
        <v>0</v>
      </c>
      <c r="F161" s="85" t="n">
        <f aca="false">SRC_DC!$S47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6784</v>
      </c>
      <c r="C162" s="53" t="n">
        <v>48</v>
      </c>
      <c r="D162" s="85" t="n">
        <f aca="false">SRC_DC!$O48</f>
        <v>0</v>
      </c>
      <c r="E162" s="85" t="n">
        <f aca="false">SRC_DC!$K48</f>
        <v>0</v>
      </c>
      <c r="F162" s="85" t="n">
        <f aca="false">SRC_DC!$S48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6784</v>
      </c>
      <c r="C163" s="53" t="n">
        <v>49</v>
      </c>
      <c r="D163" s="85" t="n">
        <f aca="false">SRC_DC!$O49</f>
        <v>0</v>
      </c>
      <c r="E163" s="85" t="n">
        <f aca="false">SRC_DC!$K49</f>
        <v>0</v>
      </c>
      <c r="F163" s="85" t="n">
        <f aca="false">SRC_DC!$S49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6784</v>
      </c>
      <c r="C164" s="53" t="n">
        <v>50</v>
      </c>
      <c r="D164" s="85" t="n">
        <f aca="false">SRC_DC!$O50</f>
        <v>0</v>
      </c>
      <c r="E164" s="85" t="n">
        <f aca="false">SRC_DC!$K50</f>
        <v>0</v>
      </c>
      <c r="F164" s="85" t="n">
        <f aca="false">SRC_DC!$S50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6784</v>
      </c>
      <c r="C165" s="53" t="n">
        <v>51</v>
      </c>
      <c r="D165" s="85" t="n">
        <f aca="false">SRC_DC!$O51</f>
        <v>0</v>
      </c>
      <c r="E165" s="85" t="n">
        <f aca="false">SRC_DC!$K51</f>
        <v>0</v>
      </c>
      <c r="F165" s="85" t="n">
        <f aca="false">SRC_DC!$S51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6784</v>
      </c>
      <c r="C166" s="53" t="n">
        <v>52</v>
      </c>
      <c r="D166" s="85" t="n">
        <f aca="false">SRC_DC!$O52</f>
        <v>0</v>
      </c>
      <c r="E166" s="85" t="n">
        <f aca="false">SRC_DC!$K52</f>
        <v>0</v>
      </c>
      <c r="F166" s="85" t="n">
        <f aca="false">SRC_DC!$S52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6784</v>
      </c>
      <c r="C167" s="53" t="n">
        <v>53</v>
      </c>
      <c r="D167" s="85" t="n">
        <f aca="false">SRC_DC!$O53</f>
        <v>0</v>
      </c>
      <c r="E167" s="85" t="n">
        <f aca="false">SRC_DC!$K53</f>
        <v>0</v>
      </c>
      <c r="F167" s="85" t="n">
        <f aca="false">SRC_DC!$S53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6784</v>
      </c>
      <c r="C168" s="53" t="n">
        <v>54</v>
      </c>
      <c r="D168" s="85" t="n">
        <f aca="false">SRC_DC!$O54</f>
        <v>0</v>
      </c>
      <c r="E168" s="85" t="n">
        <f aca="false">SRC_DC!$K54</f>
        <v>0</v>
      </c>
      <c r="F168" s="85" t="n">
        <f aca="false">SRC_DC!$S54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6784</v>
      </c>
      <c r="C169" s="53" t="n">
        <v>55</v>
      </c>
      <c r="D169" s="85" t="n">
        <f aca="false">SRC_DC!$O55</f>
        <v>0</v>
      </c>
      <c r="E169" s="85" t="n">
        <f aca="false">SRC_DC!$K55</f>
        <v>0</v>
      </c>
      <c r="F169" s="85" t="n">
        <f aca="false">SRC_DC!$S55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6784</v>
      </c>
      <c r="C170" s="53" t="n">
        <v>56</v>
      </c>
      <c r="D170" s="85" t="n">
        <f aca="false">SRC_DC!$O56</f>
        <v>0</v>
      </c>
      <c r="E170" s="85" t="n">
        <f aca="false">SRC_DC!$K56</f>
        <v>0</v>
      </c>
      <c r="F170" s="85" t="n">
        <f aca="false">SRC_DC!$S56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6784</v>
      </c>
      <c r="C171" s="53" t="n">
        <v>57</v>
      </c>
      <c r="D171" s="85" t="n">
        <f aca="false">SRC_DC!$O57</f>
        <v>0</v>
      </c>
      <c r="E171" s="85" t="n">
        <f aca="false">SRC_DC!$K57</f>
        <v>0</v>
      </c>
      <c r="F171" s="85" t="n">
        <f aca="false">SRC_DC!$S57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6784</v>
      </c>
      <c r="C172" s="53" t="n">
        <v>58</v>
      </c>
      <c r="D172" s="85" t="n">
        <f aca="false">SRC_DC!$O58</f>
        <v>0</v>
      </c>
      <c r="E172" s="85" t="n">
        <f aca="false">SRC_DC!$K58</f>
        <v>0</v>
      </c>
      <c r="F172" s="85" t="n">
        <f aca="false">SRC_DC!$S58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6784</v>
      </c>
      <c r="C173" s="53" t="n">
        <v>59</v>
      </c>
      <c r="D173" s="85" t="n">
        <f aca="false">SRC_DC!$O59</f>
        <v>0</v>
      </c>
      <c r="E173" s="85" t="n">
        <f aca="false">SRC_DC!$K59</f>
        <v>0</v>
      </c>
      <c r="F173" s="85" t="n">
        <f aca="false">SRC_DC!$S59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6784</v>
      </c>
      <c r="C174" s="53" t="n">
        <v>60</v>
      </c>
      <c r="D174" s="85" t="n">
        <f aca="false">SRC_DC!$O60</f>
        <v>0</v>
      </c>
      <c r="E174" s="85" t="n">
        <f aca="false">SRC_DC!$K60</f>
        <v>0</v>
      </c>
      <c r="F174" s="85" t="n">
        <f aca="false">SRC_DC!$S60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6784</v>
      </c>
      <c r="C175" s="53" t="n">
        <v>61</v>
      </c>
      <c r="D175" s="85" t="n">
        <f aca="false">SRC_DC!$O61</f>
        <v>0</v>
      </c>
      <c r="E175" s="85" t="n">
        <f aca="false">SRC_DC!$K61</f>
        <v>0</v>
      </c>
      <c r="F175" s="85" t="n">
        <f aca="false">SRC_DC!$S61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6784</v>
      </c>
      <c r="C176" s="53" t="n">
        <v>62</v>
      </c>
      <c r="D176" s="85" t="n">
        <f aca="false">SRC_DC!$O62</f>
        <v>0</v>
      </c>
      <c r="E176" s="85" t="n">
        <f aca="false">SRC_DC!$K62</f>
        <v>0</v>
      </c>
      <c r="F176" s="85" t="n">
        <f aca="false">SRC_DC!$S62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6784</v>
      </c>
      <c r="C177" s="53" t="n">
        <v>63</v>
      </c>
      <c r="D177" s="85" t="n">
        <f aca="false">SRC_DC!$O63</f>
        <v>0</v>
      </c>
      <c r="E177" s="85" t="n">
        <f aca="false">SRC_DC!$K63</f>
        <v>0</v>
      </c>
      <c r="F177" s="85" t="n">
        <f aca="false">SRC_DC!$S63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6784</v>
      </c>
      <c r="C178" s="53" t="n">
        <v>64</v>
      </c>
      <c r="D178" s="85" t="n">
        <f aca="false">SRC_DC!$O64</f>
        <v>0</v>
      </c>
      <c r="E178" s="85" t="n">
        <f aca="false">SRC_DC!$K64</f>
        <v>0</v>
      </c>
      <c r="F178" s="85" t="n">
        <f aca="false">SRC_DC!$S64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6784</v>
      </c>
      <c r="C179" s="53" t="n">
        <v>65</v>
      </c>
      <c r="D179" s="85" t="n">
        <f aca="false">SRC_DC!$O65</f>
        <v>0</v>
      </c>
      <c r="E179" s="85" t="n">
        <f aca="false">SRC_DC!$K65</f>
        <v>0</v>
      </c>
      <c r="F179" s="85" t="n">
        <f aca="false">SRC_DC!$S65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6784</v>
      </c>
      <c r="C180" s="53" t="n">
        <v>66</v>
      </c>
      <c r="D180" s="85" t="n">
        <f aca="false">SRC_DC!$O66</f>
        <v>0</v>
      </c>
      <c r="E180" s="85" t="n">
        <f aca="false">SRC_DC!$K66</f>
        <v>0</v>
      </c>
      <c r="F180" s="85" t="n">
        <f aca="false">SRC_DC!$S66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6784</v>
      </c>
      <c r="C181" s="53" t="n">
        <v>67</v>
      </c>
      <c r="D181" s="85" t="n">
        <f aca="false">SRC_DC!$O67</f>
        <v>0</v>
      </c>
      <c r="E181" s="85" t="n">
        <f aca="false">SRC_DC!$K67</f>
        <v>0</v>
      </c>
      <c r="F181" s="85" t="n">
        <f aca="false">SRC_DC!$S67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6785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  <c r="F182" s="85" t="str">
        <f aca="false">SRC_Model!$S5</f>
        <v>—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6785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  <c r="F183" s="85" t="str">
        <f aca="false">SRC_Model!$S6</f>
        <v>2026-10-05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6785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  <c r="F184" s="85" t="str">
        <f aca="false">SRC_Model!$S7</f>
        <v>—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6785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  <c r="F185" s="85" t="str">
        <f aca="false">SRC_Model!$S8</f>
        <v>—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6785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  <c r="F186" s="85" t="str">
        <f aca="false">SRC_Model!$S9</f>
        <v>—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6785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  <c r="F187" s="85" t="str">
        <f aca="false">SRC_Model!$S10</f>
        <v>2026-10-05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6785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  <c r="F188" s="85" t="str">
        <f aca="false">SRC_Model!$S11</f>
        <v>2026-10-05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6785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  <c r="F189" s="85" t="str">
        <f aca="false">SRC_Model!$S12</f>
        <v>—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6785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  <c r="F190" s="85" t="str">
        <f aca="false">SRC_Model!$S13</f>
        <v>2026-10-05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6785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  <c r="F191" s="85" t="str">
        <f aca="false">SRC_Model!$S14</f>
        <v>2026-10-05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6785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  <c r="F192" s="85" t="str">
        <f aca="false">SRC_Model!$S15</f>
        <v>2026-10-05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6785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  <c r="F193" s="85" t="str">
        <f aca="false">SRC_Model!$S16</f>
        <v>2026-10-05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6785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  <c r="F194" s="85" t="str">
        <f aca="false">SRC_Model!$S17</f>
        <v>2026-10-05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6785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  <c r="F195" s="85" t="str">
        <f aca="false">SRC_Model!$S18</f>
        <v>2026-10-05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6785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  <c r="F196" s="85" t="str">
        <f aca="false">SRC_Model!$S19</f>
        <v>2026-10-05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6785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  <c r="F197" s="85" t="str">
        <f aca="false">SRC_Model!$S20</f>
        <v>2026-10-05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6785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  <c r="F198" s="85" t="str">
        <f aca="false">SRC_Model!$S21</f>
        <v>2026-10-05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6785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  <c r="F199" s="85" t="str">
        <f aca="false">SRC_Model!$S22</f>
        <v>—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6785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  <c r="F200" s="85" t="str">
        <f aca="false">SRC_Model!$S23</f>
        <v>—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6785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  <c r="F201" s="85" t="str">
        <f aca="false">SRC_Model!$S24</f>
        <v>—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6785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  <c r="F202" s="85" t="str">
        <f aca="false">SRC_Model!$S25</f>
        <v>—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6785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  <c r="F203" s="85" t="str">
        <f aca="false">SRC_Model!$S26</f>
        <v>—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6785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  <c r="F204" s="85" t="str">
        <f aca="false">SRC_Model!$S27</f>
        <v>—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6785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  <c r="F205" s="85" t="str">
        <f aca="false">SRC_Model!$S28</f>
        <v>—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6785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  <c r="F206" s="85" t="str">
        <f aca="false">SRC_Model!$S29</f>
        <v>—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6785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  <c r="F207" s="85" t="str">
        <f aca="false">SRC_Model!$S30</f>
        <v>—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6785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  <c r="F208" s="85" t="str">
        <f aca="false">SRC_Model!$S31</f>
        <v>—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6785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  <c r="F209" s="85" t="str">
        <f aca="false">SRC_Model!$S32</f>
        <v>—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6785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  <c r="F210" s="85" t="str">
        <f aca="false">SRC_Model!$S33</f>
        <v>—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6785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  <c r="F211" s="85" t="str">
        <f aca="false">SRC_Model!$S34</f>
        <v>—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6785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  <c r="F212" s="85" t="str">
        <f aca="false">SRC_Model!$S35</f>
        <v>—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6785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  <c r="F213" s="85" t="str">
        <f aca="false">SRC_Model!$S36</f>
        <v>—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6785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  <c r="F214" s="85" t="str">
        <f aca="false">SRC_Model!$S37</f>
        <v>—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6785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  <c r="F215" s="85" t="str">
        <f aca="false">SRC_Model!$S38</f>
        <v>—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6785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  <c r="F216" s="85" t="str">
        <f aca="false">SRC_Model!$S39</f>
        <v>—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6785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  <c r="F217" s="85" t="str">
        <f aca="false">SRC_Model!$S40</f>
        <v>—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6785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  <c r="F218" s="85" t="str">
        <f aca="false">SRC_Model!$S41</f>
        <v>—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6785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  <c r="F219" s="85" t="str">
        <f aca="false">SRC_Model!$S42</f>
        <v>—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6785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  <c r="F220" s="85" t="str">
        <f aca="false">SRC_Model!$S43</f>
        <v>—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6785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  <c r="F221" s="85" t="str">
        <f aca="false">SRC_Model!$S44</f>
        <v>—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6785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  <c r="F222" s="85" t="str">
        <f aca="false">SRC_Model!$S45</f>
        <v>—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6785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  <c r="F223" s="85" t="str">
        <f aca="false">SRC_Model!$S46</f>
        <v>—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6785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  <c r="F224" s="85" t="str">
        <f aca="false">SRC_Model!$S47</f>
        <v>—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6785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  <c r="F225" s="85" t="str">
        <f aca="false">SRC_Model!$S48</f>
        <v>—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6785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  <c r="F226" s="85" t="str">
        <f aca="false">SRC_Model!$S49</f>
        <v>—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6785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  <c r="F227" s="85" t="str">
        <f aca="false">SRC_Model!$S50</f>
        <v>—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6785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  <c r="F228" s="85" t="str">
        <f aca="false">SRC_Model!$S51</f>
        <v>—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6785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  <c r="F229" s="85" t="str">
        <f aca="false">SRC_Model!$S52</f>
        <v>—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6785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  <c r="F230" s="85" t="str">
        <f aca="false">SRC_Model!$S53</f>
        <v>—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6785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  <c r="F231" s="85" t="str">
        <f aca="false">SRC_Model!$S54</f>
        <v>—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6785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  <c r="F232" s="85" t="str">
        <f aca="false">SRC_Model!$S55</f>
        <v>—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6785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  <c r="F233" s="85" t="str">
        <f aca="false">SRC_Model!$S56</f>
        <v>—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6785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  <c r="F234" s="85" t="str">
        <f aca="false">SRC_Model!$S57</f>
        <v>—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6785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  <c r="F235" s="85" t="str">
        <f aca="false">SRC_Model!$S58</f>
        <v>—</v>
      </c>
    </row>
    <row r="236" customFormat="false" ht="15" hidden="false" customHeight="false" outlineLevel="0" collapsed="false">
      <c r="A236" s="85" t="str">
        <f aca="false">SRC_Model!$A59&amp;""</f>
        <v>SRC_MOD_055</v>
      </c>
      <c r="B236" s="54" t="s">
        <v>6785</v>
      </c>
      <c r="C236" s="53" t="n">
        <v>59</v>
      </c>
      <c r="D236" s="85" t="str">
        <f aca="false">SRC_Model!$O59</f>
        <v>Active</v>
      </c>
      <c r="E236" s="85" t="n">
        <f aca="false">SRC_Model!$K59</f>
        <v>1</v>
      </c>
      <c r="F236" s="85" t="str">
        <f aca="false">SRC_Model!$S59</f>
        <v>—</v>
      </c>
    </row>
    <row r="237" customFormat="false" ht="15" hidden="false" customHeight="false" outlineLevel="0" collapsed="false">
      <c r="A237" s="85" t="str">
        <f aca="false">SRC_Model!$A60&amp;""</f>
        <v>SRC_MOD_057</v>
      </c>
      <c r="B237" s="54" t="s">
        <v>6785</v>
      </c>
      <c r="C237" s="53" t="n">
        <v>60</v>
      </c>
      <c r="D237" s="85" t="str">
        <f aca="false">SRC_Model!$O60</f>
        <v>Active</v>
      </c>
      <c r="E237" s="85" t="n">
        <f aca="false">SRC_Model!$K60</f>
        <v>1</v>
      </c>
      <c r="F237" s="85" t="str">
        <f aca="false">SRC_Model!$S60</f>
        <v>—</v>
      </c>
    </row>
    <row r="238" customFormat="false" ht="15" hidden="false" customHeight="false" outlineLevel="0" collapsed="false">
      <c r="A238" s="85" t="str">
        <f aca="false">SRC_Model!$A61&amp;""</f>
        <v>SRC_MOD_058</v>
      </c>
      <c r="B238" s="54" t="s">
        <v>6785</v>
      </c>
      <c r="C238" s="53" t="n">
        <v>61</v>
      </c>
      <c r="D238" s="85" t="str">
        <f aca="false">SRC_Model!$O61</f>
        <v>Active</v>
      </c>
      <c r="E238" s="85" t="n">
        <f aca="false">SRC_Model!$K61</f>
        <v>1</v>
      </c>
      <c r="F238" s="85" t="str">
        <f aca="false">SRC_Model!$S61</f>
        <v>—</v>
      </c>
    </row>
    <row r="239" customFormat="false" ht="15" hidden="false" customHeight="false" outlineLevel="0" collapsed="false">
      <c r="A239" s="85" t="str">
        <f aca="false">SRC_Model!$A62&amp;""</f>
        <v>SRC_MOD_059</v>
      </c>
      <c r="B239" s="54" t="s">
        <v>6785</v>
      </c>
      <c r="C239" s="53" t="n">
        <v>62</v>
      </c>
      <c r="D239" s="85" t="str">
        <f aca="false">SRC_Model!$O62</f>
        <v>Active</v>
      </c>
      <c r="E239" s="85" t="n">
        <f aca="false">SRC_Model!$K62</f>
        <v>1</v>
      </c>
      <c r="F239" s="85" t="str">
        <f aca="false">SRC_Model!$S62</f>
        <v>—</v>
      </c>
    </row>
    <row r="240" customFormat="false" ht="15" hidden="false" customHeight="false" outlineLevel="0" collapsed="false">
      <c r="A240" s="85" t="str">
        <f aca="false">SRC_Model!$A63&amp;""</f>
        <v>SRC_MOD_060</v>
      </c>
      <c r="B240" s="54" t="s">
        <v>6785</v>
      </c>
      <c r="C240" s="53" t="n">
        <v>63</v>
      </c>
      <c r="D240" s="85" t="str">
        <f aca="false">SRC_Model!$O63</f>
        <v>Active</v>
      </c>
      <c r="E240" s="85" t="n">
        <f aca="false">SRC_Model!$K63</f>
        <v>1</v>
      </c>
      <c r="F240" s="85" t="str">
        <f aca="false">SRC_Model!$S63</f>
        <v>—</v>
      </c>
    </row>
    <row r="241" customFormat="false" ht="15" hidden="false" customHeight="false" outlineLevel="0" collapsed="false">
      <c r="A241" s="85" t="str">
        <f aca="false">SRC_Model!$A64&amp;""</f>
        <v>SRC_MOD_061</v>
      </c>
      <c r="B241" s="54" t="s">
        <v>6785</v>
      </c>
      <c r="C241" s="53" t="n">
        <v>64</v>
      </c>
      <c r="D241" s="85" t="str">
        <f aca="false">SRC_Model!$O64</f>
        <v>Active</v>
      </c>
      <c r="E241" s="85" t="n">
        <f aca="false">SRC_Model!$K64</f>
        <v>1</v>
      </c>
      <c r="F241" s="85" t="str">
        <f aca="false">SRC_Model!$S64</f>
        <v>—</v>
      </c>
    </row>
    <row r="242" customFormat="false" ht="15" hidden="false" customHeight="false" outlineLevel="0" collapsed="false">
      <c r="A242" s="85" t="str">
        <f aca="false">SRC_Model!$A65&amp;""</f>
        <v>SRC_MOD_062</v>
      </c>
      <c r="B242" s="54" t="s">
        <v>6785</v>
      </c>
      <c r="C242" s="53" t="n">
        <v>65</v>
      </c>
      <c r="D242" s="85" t="str">
        <f aca="false">SRC_Model!$O65</f>
        <v>Active</v>
      </c>
      <c r="E242" s="85" t="n">
        <f aca="false">SRC_Model!$K65</f>
        <v>1</v>
      </c>
      <c r="F242" s="85" t="str">
        <f aca="false">SRC_Model!$S65</f>
        <v>—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6785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  <c r="F243" s="85" t="n">
        <f aca="false">SRC_Model!$S66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6785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  <c r="F244" s="85" t="n">
        <f aca="false">SRC_Model!$S67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6785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  <c r="F245" s="85" t="n">
        <f aca="false">SRC_Model!$S68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6785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  <c r="F246" s="85" t="n">
        <f aca="false">SRC_Model!$S69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6785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  <c r="F247" s="85" t="n">
        <f aca="false">SRC_Model!$S70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6785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  <c r="F248" s="85" t="n">
        <f aca="false">SRC_Model!$S71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6785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  <c r="F249" s="85" t="n">
        <f aca="false">SRC_Model!$S72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6785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  <c r="F250" s="85" t="n">
        <f aca="false">SRC_Model!$S73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6785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  <c r="F251" s="85" t="n">
        <f aca="false">SRC_Model!$S74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6785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  <c r="F252" s="85" t="n">
        <f aca="false">SRC_Model!$S75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6785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  <c r="F253" s="85" t="n">
        <f aca="false">SRC_Model!$S76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6785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  <c r="F254" s="85" t="n">
        <f aca="false">SRC_Model!$S77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6785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  <c r="F255" s="85" t="n">
        <f aca="false">SRC_Model!$S78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6785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  <c r="F256" s="85" t="n">
        <f aca="false">SRC_Model!$S79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6785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  <c r="F257" s="85" t="n">
        <f aca="false">SRC_Model!$S80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6785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  <c r="F258" s="85" t="n">
        <f aca="false">SRC_Model!$S81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6785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  <c r="F259" s="85" t="n">
        <f aca="false">SRC_Model!$S82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6785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  <c r="F260" s="85" t="n">
        <f aca="false">SRC_Model!$S83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6785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  <c r="F261" s="85" t="n">
        <f aca="false">SRC_Model!$S84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6785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  <c r="F262" s="85" t="n">
        <f aca="false">SRC_Model!$S85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6785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  <c r="F263" s="85" t="n">
        <f aca="false">SRC_Model!$S86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6785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  <c r="F264" s="85" t="n">
        <f aca="false">SRC_Model!$S87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6785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  <c r="F265" s="85" t="n">
        <f aca="false">SRC_Model!$S88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6785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  <c r="F266" s="85" t="n">
        <f aca="false">SRC_Model!$S89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6785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  <c r="F267" s="85" t="n">
        <f aca="false">SRC_Model!$S90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6785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  <c r="F268" s="85" t="n">
        <f aca="false">SRC_Model!$S91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6785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  <c r="F269" s="85" t="n">
        <f aca="false">SRC_Model!$S92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6785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  <c r="F270" s="85" t="n">
        <f aca="false">SRC_Model!$S93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6785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  <c r="F271" s="85" t="n">
        <f aca="false">SRC_Model!$S94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6785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  <c r="F272" s="85" t="n">
        <f aca="false">SRC_Model!$S95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6785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  <c r="F273" s="85" t="n">
        <f aca="false">SRC_Model!$S96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6785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  <c r="F274" s="85" t="n">
        <f aca="false">SRC_Model!$S97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6785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  <c r="F275" s="85" t="n">
        <f aca="false">SRC_Model!$S98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6785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  <c r="F276" s="85" t="n">
        <f aca="false">SRC_Model!$S99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6785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  <c r="F277" s="85" t="n">
        <f aca="false">SRC_Model!$S100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6785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  <c r="F278" s="85" t="n">
        <f aca="false">SRC_Model!$S101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6785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  <c r="F279" s="85" t="n">
        <f aca="false">SRC_Model!$S102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6785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  <c r="F280" s="85" t="n">
        <f aca="false">SRC_Model!$S103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6785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  <c r="F281" s="85" t="n">
        <f aca="false">SRC_Model!$S104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6785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  <c r="F282" s="85" t="n">
        <f aca="false">SRC_Model!$S105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6785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  <c r="F283" s="85" t="n">
        <f aca="false">SRC_Model!$S106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6785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  <c r="F284" s="85" t="n">
        <f aca="false">SRC_Model!$S107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6785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  <c r="F285" s="85" t="n">
        <f aca="false">SRC_Model!$S108</f>
        <v>0</v>
      </c>
    </row>
    <row r="286" customFormat="false" ht="15" hidden="false" customHeight="false" outlineLevel="0" collapsed="false">
      <c r="A286" s="85" t="str">
        <f aca="false">SRC_Model!$A109&amp;""</f>
        <v/>
      </c>
      <c r="B286" s="54" t="s">
        <v>6785</v>
      </c>
      <c r="C286" s="53" t="n">
        <v>109</v>
      </c>
      <c r="D286" s="85" t="n">
        <f aca="false">SRC_Model!$O109</f>
        <v>0</v>
      </c>
      <c r="E286" s="85" t="n">
        <f aca="false">SRC_Model!$K109</f>
        <v>0</v>
      </c>
      <c r="F286" s="85" t="n">
        <f aca="false">SRC_Model!$S109</f>
        <v>0</v>
      </c>
    </row>
    <row r="287" customFormat="false" ht="15" hidden="false" customHeight="false" outlineLevel="0" collapsed="false">
      <c r="A287" s="85" t="str">
        <f aca="false">SRC_Model!$A110&amp;""</f>
        <v/>
      </c>
      <c r="B287" s="54" t="s">
        <v>6785</v>
      </c>
      <c r="C287" s="53" t="n">
        <v>110</v>
      </c>
      <c r="D287" s="85" t="n">
        <f aca="false">SRC_Model!$O110</f>
        <v>0</v>
      </c>
      <c r="E287" s="85" t="n">
        <f aca="false">SRC_Model!$K110</f>
        <v>0</v>
      </c>
      <c r="F287" s="85" t="n">
        <f aca="false">SRC_Model!$S110</f>
        <v>0</v>
      </c>
    </row>
    <row r="288" customFormat="false" ht="15" hidden="false" customHeight="false" outlineLevel="0" collapsed="false">
      <c r="A288" s="85" t="str">
        <f aca="false">SRC_Model!$A111&amp;""</f>
        <v/>
      </c>
      <c r="B288" s="54" t="s">
        <v>6785</v>
      </c>
      <c r="C288" s="53" t="n">
        <v>111</v>
      </c>
      <c r="D288" s="85" t="n">
        <f aca="false">SRC_Model!$O111</f>
        <v>0</v>
      </c>
      <c r="E288" s="85" t="n">
        <f aca="false">SRC_Model!$K111</f>
        <v>0</v>
      </c>
      <c r="F288" s="85" t="n">
        <f aca="false">SRC_Model!$S111</f>
        <v>0</v>
      </c>
    </row>
    <row r="289" customFormat="false" ht="15" hidden="false" customHeight="false" outlineLevel="0" collapsed="false">
      <c r="A289" s="85" t="str">
        <f aca="false">SRC_Model!$A112&amp;""</f>
        <v/>
      </c>
      <c r="B289" s="54" t="s">
        <v>6785</v>
      </c>
      <c r="C289" s="53" t="n">
        <v>112</v>
      </c>
      <c r="D289" s="85" t="n">
        <f aca="false">SRC_Model!$O112</f>
        <v>0</v>
      </c>
      <c r="E289" s="85" t="n">
        <f aca="false">SRC_Model!$K112</f>
        <v>0</v>
      </c>
      <c r="F289" s="85" t="n">
        <f aca="false">SRC_Model!$S112</f>
        <v>0</v>
      </c>
    </row>
    <row r="290" customFormat="false" ht="15" hidden="false" customHeight="false" outlineLevel="0" collapsed="false">
      <c r="A290" s="85" t="str">
        <f aca="false">SRC_Model!$A113&amp;""</f>
        <v/>
      </c>
      <c r="B290" s="54" t="s">
        <v>6785</v>
      </c>
      <c r="C290" s="53" t="n">
        <v>113</v>
      </c>
      <c r="D290" s="85" t="n">
        <f aca="false">SRC_Model!$O113</f>
        <v>0</v>
      </c>
      <c r="E290" s="85" t="n">
        <f aca="false">SRC_Model!$K113</f>
        <v>0</v>
      </c>
      <c r="F290" s="85" t="n">
        <f aca="false">SRC_Model!$S113</f>
        <v>0</v>
      </c>
    </row>
    <row r="291" customFormat="false" ht="15" hidden="false" customHeight="false" outlineLevel="0" collapsed="false">
      <c r="A291" s="85" t="str">
        <f aca="false">SRC_Model!$A114&amp;""</f>
        <v/>
      </c>
      <c r="B291" s="54" t="s">
        <v>6785</v>
      </c>
      <c r="C291" s="53" t="n">
        <v>114</v>
      </c>
      <c r="D291" s="85" t="n">
        <f aca="false">SRC_Model!$O114</f>
        <v>0</v>
      </c>
      <c r="E291" s="85" t="n">
        <f aca="false">SRC_Model!$K114</f>
        <v>0</v>
      </c>
      <c r="F291" s="85" t="n">
        <f aca="false">SRC_Model!$S114</f>
        <v>0</v>
      </c>
    </row>
    <row r="292" customFormat="false" ht="15" hidden="false" customHeight="false" outlineLevel="0" collapsed="false">
      <c r="A292" s="85" t="str">
        <f aca="false">SRC_Model!$A115&amp;""</f>
        <v/>
      </c>
      <c r="B292" s="54" t="s">
        <v>6785</v>
      </c>
      <c r="C292" s="53" t="n">
        <v>115</v>
      </c>
      <c r="D292" s="85" t="n">
        <f aca="false">SRC_Model!$O115</f>
        <v>0</v>
      </c>
      <c r="E292" s="85" t="n">
        <f aca="false">SRC_Model!$K115</f>
        <v>0</v>
      </c>
      <c r="F292" s="85" t="n">
        <f aca="false">SRC_Model!$S115</f>
        <v>0</v>
      </c>
    </row>
    <row r="293" customFormat="false" ht="15" hidden="false" customHeight="false" outlineLevel="0" collapsed="false">
      <c r="A293" s="85" t="str">
        <f aca="false">SRC_Perf!$A5&amp;""</f>
        <v>SRC_PERF_001</v>
      </c>
      <c r="B293" s="54" t="s">
        <v>6786</v>
      </c>
      <c r="C293" s="53" t="n">
        <v>5</v>
      </c>
      <c r="D293" s="85" t="str">
        <f aca="false">SRC_Perf!$O5</f>
        <v>Active</v>
      </c>
      <c r="E293" s="85" t="n">
        <f aca="false">SRC_Perf!$K5</f>
        <v>1</v>
      </c>
      <c r="F293" s="85" t="str">
        <f aca="false">SRC_Perf!$S5</f>
        <v>—</v>
      </c>
    </row>
    <row r="294" customFormat="false" ht="15" hidden="false" customHeight="false" outlineLevel="0" collapsed="false">
      <c r="A294" s="85" t="str">
        <f aca="false">SRC_Perf!$A6&amp;""</f>
        <v>SRC_PERF_002</v>
      </c>
      <c r="B294" s="54" t="s">
        <v>6786</v>
      </c>
      <c r="C294" s="53" t="n">
        <v>6</v>
      </c>
      <c r="D294" s="85" t="str">
        <f aca="false">SRC_Perf!$O6</f>
        <v>Active</v>
      </c>
      <c r="E294" s="85" t="n">
        <f aca="false">SRC_Perf!$K6</f>
        <v>1</v>
      </c>
      <c r="F294" s="85" t="str">
        <f aca="false">SRC_Perf!$S6</f>
        <v>—</v>
      </c>
    </row>
    <row r="295" customFormat="false" ht="15" hidden="false" customHeight="false" outlineLevel="0" collapsed="false">
      <c r="A295" s="85" t="str">
        <f aca="false">SRC_Perf!$A7&amp;""</f>
        <v>SRC_PERF_003</v>
      </c>
      <c r="B295" s="54" t="s">
        <v>6786</v>
      </c>
      <c r="C295" s="53" t="n">
        <v>7</v>
      </c>
      <c r="D295" s="85" t="str">
        <f aca="false">SRC_Perf!$O7</f>
        <v>Active</v>
      </c>
      <c r="E295" s="85" t="n">
        <f aca="false">SRC_Perf!$K7</f>
        <v>1</v>
      </c>
      <c r="F295" s="85" t="str">
        <f aca="false">SRC_Perf!$S7</f>
        <v>—</v>
      </c>
    </row>
    <row r="296" customFormat="false" ht="15" hidden="false" customHeight="false" outlineLevel="0" collapsed="false">
      <c r="A296" s="85" t="str">
        <f aca="false">SRC_Perf!$A8&amp;""</f>
        <v>SRC_PERF_004</v>
      </c>
      <c r="B296" s="54" t="s">
        <v>6786</v>
      </c>
      <c r="C296" s="53" t="n">
        <v>8</v>
      </c>
      <c r="D296" s="85" t="str">
        <f aca="false">SRC_Perf!$O8</f>
        <v>Active</v>
      </c>
      <c r="E296" s="85" t="n">
        <f aca="false">SRC_Perf!$K8</f>
        <v>1</v>
      </c>
      <c r="F296" s="85" t="str">
        <f aca="false">SRC_Perf!$S8</f>
        <v>—</v>
      </c>
    </row>
    <row r="297" customFormat="false" ht="15" hidden="false" customHeight="false" outlineLevel="0" collapsed="false">
      <c r="A297" s="85" t="str">
        <f aca="false">SRC_Perf!$A9&amp;""</f>
        <v>SRC_PERF_005</v>
      </c>
      <c r="B297" s="54" t="s">
        <v>6786</v>
      </c>
      <c r="C297" s="53" t="n">
        <v>9</v>
      </c>
      <c r="D297" s="85" t="str">
        <f aca="false">SRC_Perf!$O9</f>
        <v>Active</v>
      </c>
      <c r="E297" s="85" t="n">
        <f aca="false">SRC_Perf!$K9</f>
        <v>1</v>
      </c>
      <c r="F297" s="85" t="str">
        <f aca="false">SRC_Perf!$S9</f>
        <v>—</v>
      </c>
    </row>
    <row r="298" customFormat="false" ht="15" hidden="false" customHeight="false" outlineLevel="0" collapsed="false">
      <c r="A298" s="85" t="str">
        <f aca="false">SRC_Perf!$A10&amp;""</f>
        <v>SRC_PERF_006</v>
      </c>
      <c r="B298" s="54" t="s">
        <v>6786</v>
      </c>
      <c r="C298" s="53" t="n">
        <v>10</v>
      </c>
      <c r="D298" s="85" t="str">
        <f aca="false">SRC_Perf!$O10</f>
        <v>Superseded</v>
      </c>
      <c r="E298" s="85" t="n">
        <f aca="false">SRC_Perf!$K10</f>
        <v>1</v>
      </c>
      <c r="F298" s="85" t="str">
        <f aca="false">SRC_Perf!$S10</f>
        <v>—</v>
      </c>
    </row>
    <row r="299" customFormat="false" ht="15" hidden="false" customHeight="false" outlineLevel="0" collapsed="false">
      <c r="A299" s="85" t="str">
        <f aca="false">SRC_Perf!$A11&amp;""</f>
        <v>SRC_PERF_007</v>
      </c>
      <c r="B299" s="54" t="s">
        <v>6786</v>
      </c>
      <c r="C299" s="53" t="n">
        <v>11</v>
      </c>
      <c r="D299" s="85" t="str">
        <f aca="false">SRC_Perf!$O11</f>
        <v>Active</v>
      </c>
      <c r="E299" s="85" t="n">
        <f aca="false">SRC_Perf!$K11</f>
        <v>1</v>
      </c>
      <c r="F299" s="85" t="str">
        <f aca="false">SRC_Perf!$S11</f>
        <v>—</v>
      </c>
    </row>
    <row r="300" customFormat="false" ht="15" hidden="false" customHeight="false" outlineLevel="0" collapsed="false">
      <c r="A300" s="85" t="str">
        <f aca="false">SRC_Perf!$A12&amp;""</f>
        <v>SRC_PERF_008</v>
      </c>
      <c r="B300" s="54" t="s">
        <v>6786</v>
      </c>
      <c r="C300" s="53" t="n">
        <v>12</v>
      </c>
      <c r="D300" s="85" t="str">
        <f aca="false">SRC_Perf!$O12</f>
        <v>Active</v>
      </c>
      <c r="E300" s="85" t="n">
        <f aca="false">SRC_Perf!$K12</f>
        <v>1</v>
      </c>
      <c r="F300" s="85" t="str">
        <f aca="false">SRC_Perf!$S12</f>
        <v>—</v>
      </c>
    </row>
    <row r="301" customFormat="false" ht="15" hidden="false" customHeight="false" outlineLevel="0" collapsed="false">
      <c r="A301" s="85" t="str">
        <f aca="false">SRC_Perf!$A13&amp;""</f>
        <v>SRC_PERF_009</v>
      </c>
      <c r="B301" s="54" t="s">
        <v>6786</v>
      </c>
      <c r="C301" s="53" t="n">
        <v>13</v>
      </c>
      <c r="D301" s="85" t="str">
        <f aca="false">SRC_Perf!$O13</f>
        <v>Active</v>
      </c>
      <c r="E301" s="85" t="n">
        <f aca="false">SRC_Perf!$K13</f>
        <v>2</v>
      </c>
      <c r="F301" s="85" t="str">
        <f aca="false">SRC_Perf!$S13</f>
        <v>2026-10-05</v>
      </c>
    </row>
    <row r="302" customFormat="false" ht="15" hidden="false" customHeight="false" outlineLevel="0" collapsed="false">
      <c r="A302" s="85" t="str">
        <f aca="false">SRC_Perf!$A14&amp;""</f>
        <v>SRC_PERF_010</v>
      </c>
      <c r="B302" s="54" t="s">
        <v>6786</v>
      </c>
      <c r="C302" s="53" t="n">
        <v>14</v>
      </c>
      <c r="D302" s="85" t="str">
        <f aca="false">SRC_Perf!$O14</f>
        <v>Active</v>
      </c>
      <c r="E302" s="85" t="n">
        <f aca="false">SRC_Perf!$K14</f>
        <v>2</v>
      </c>
      <c r="F302" s="85" t="str">
        <f aca="false">SRC_Perf!$S14</f>
        <v>2026-10-05</v>
      </c>
    </row>
    <row r="303" customFormat="false" ht="15" hidden="false" customHeight="false" outlineLevel="0" collapsed="false">
      <c r="A303" s="85" t="str">
        <f aca="false">SRC_Perf!$A15&amp;""</f>
        <v>SRC_PERF_011</v>
      </c>
      <c r="B303" s="54" t="s">
        <v>6786</v>
      </c>
      <c r="C303" s="53" t="n">
        <v>15</v>
      </c>
      <c r="D303" s="85" t="str">
        <f aca="false">SRC_Perf!$O15</f>
        <v>Active</v>
      </c>
      <c r="E303" s="85" t="n">
        <f aca="false">SRC_Perf!$K15</f>
        <v>3</v>
      </c>
      <c r="F303" s="85" t="str">
        <f aca="false">SRC_Perf!$S15</f>
        <v>—</v>
      </c>
    </row>
    <row r="304" customFormat="false" ht="15" hidden="false" customHeight="false" outlineLevel="0" collapsed="false">
      <c r="A304" s="85" t="str">
        <f aca="false">SRC_Perf!$A16&amp;""</f>
        <v>SRC_PERF_012</v>
      </c>
      <c r="B304" s="54" t="s">
        <v>6786</v>
      </c>
      <c r="C304" s="53" t="n">
        <v>16</v>
      </c>
      <c r="D304" s="85" t="str">
        <f aca="false">SRC_Perf!$O16</f>
        <v>Active</v>
      </c>
      <c r="E304" s="85" t="n">
        <f aca="false">SRC_Perf!$K16</f>
        <v>3</v>
      </c>
      <c r="F304" s="85" t="str">
        <f aca="false">SRC_Perf!$S16</f>
        <v>—</v>
      </c>
    </row>
    <row r="305" customFormat="false" ht="15" hidden="false" customHeight="false" outlineLevel="0" collapsed="false">
      <c r="A305" s="85" t="str">
        <f aca="false">SRC_Perf!$A17&amp;""</f>
        <v>SRC_PERF_013</v>
      </c>
      <c r="B305" s="54" t="s">
        <v>6786</v>
      </c>
      <c r="C305" s="53" t="n">
        <v>17</v>
      </c>
      <c r="D305" s="85" t="str">
        <f aca="false">SRC_Perf!$O17</f>
        <v>Active</v>
      </c>
      <c r="E305" s="85" t="n">
        <f aca="false">SRC_Perf!$K17</f>
        <v>3</v>
      </c>
      <c r="F305" s="85" t="str">
        <f aca="false">SRC_Perf!$S17</f>
        <v>—</v>
      </c>
    </row>
    <row r="306" customFormat="false" ht="15" hidden="false" customHeight="false" outlineLevel="0" collapsed="false">
      <c r="A306" s="85" t="str">
        <f aca="false">SRC_Perf!$A18&amp;""</f>
        <v>SRC_PERF_014</v>
      </c>
      <c r="B306" s="54" t="s">
        <v>6786</v>
      </c>
      <c r="C306" s="53" t="n">
        <v>18</v>
      </c>
      <c r="D306" s="85" t="str">
        <f aca="false">SRC_Perf!$O18</f>
        <v>Active</v>
      </c>
      <c r="E306" s="85" t="n">
        <f aca="false">SRC_Perf!$K18</f>
        <v>1</v>
      </c>
      <c r="F306" s="85" t="str">
        <f aca="false">SRC_Perf!$S18</f>
        <v>—</v>
      </c>
    </row>
    <row r="307" customFormat="false" ht="15" hidden="false" customHeight="false" outlineLevel="0" collapsed="false">
      <c r="A307" s="85" t="str">
        <f aca="false">SRC_Perf!$A19&amp;""</f>
        <v>SRC_PERF_015</v>
      </c>
      <c r="B307" s="54" t="s">
        <v>6786</v>
      </c>
      <c r="C307" s="53" t="n">
        <v>19</v>
      </c>
      <c r="D307" s="85" t="str">
        <f aca="false">SRC_Perf!$O19</f>
        <v>Active</v>
      </c>
      <c r="E307" s="85" t="n">
        <f aca="false">SRC_Perf!$K19</f>
        <v>1</v>
      </c>
      <c r="F307" s="85" t="str">
        <f aca="false">SRC_Perf!$S19</f>
        <v>—</v>
      </c>
    </row>
    <row r="308" customFormat="false" ht="15" hidden="false" customHeight="false" outlineLevel="0" collapsed="false">
      <c r="A308" s="85" t="str">
        <f aca="false">SRC_Perf!$A20&amp;""</f>
        <v>SRC_PERF_016</v>
      </c>
      <c r="B308" s="54" t="s">
        <v>6786</v>
      </c>
      <c r="C308" s="53" t="n">
        <v>20</v>
      </c>
      <c r="D308" s="85" t="str">
        <f aca="false">SRC_Perf!$O20</f>
        <v>Active</v>
      </c>
      <c r="E308" s="85" t="n">
        <f aca="false">SRC_Perf!$K20</f>
        <v>1</v>
      </c>
      <c r="F308" s="85" t="str">
        <f aca="false">SRC_Perf!$S20</f>
        <v>—</v>
      </c>
    </row>
    <row r="309" customFormat="false" ht="15" hidden="false" customHeight="false" outlineLevel="0" collapsed="false">
      <c r="A309" s="85" t="str">
        <f aca="false">SRC_Perf!$A21&amp;""</f>
        <v>SRC_PERF_017</v>
      </c>
      <c r="B309" s="54" t="s">
        <v>6786</v>
      </c>
      <c r="C309" s="53" t="n">
        <v>21</v>
      </c>
      <c r="D309" s="85" t="str">
        <f aca="false">SRC_Perf!$O21</f>
        <v>Active</v>
      </c>
      <c r="E309" s="85" t="n">
        <f aca="false">SRC_Perf!$K21</f>
        <v>1</v>
      </c>
      <c r="F309" s="85" t="str">
        <f aca="false">SRC_Perf!$S21</f>
        <v>—</v>
      </c>
    </row>
    <row r="310" customFormat="false" ht="15" hidden="false" customHeight="false" outlineLevel="0" collapsed="false">
      <c r="A310" s="85" t="str">
        <f aca="false">SRC_Perf!$A22&amp;""</f>
        <v>SRC_PERF_018</v>
      </c>
      <c r="B310" s="54" t="s">
        <v>6786</v>
      </c>
      <c r="C310" s="53" t="n">
        <v>22</v>
      </c>
      <c r="D310" s="85" t="str">
        <f aca="false">SRC_Perf!$O22</f>
        <v>Active</v>
      </c>
      <c r="E310" s="85" t="n">
        <f aca="false">SRC_Perf!$K22</f>
        <v>1</v>
      </c>
      <c r="F310" s="85" t="str">
        <f aca="false">SRC_Perf!$S22</f>
        <v>—</v>
      </c>
    </row>
    <row r="311" customFormat="false" ht="15" hidden="false" customHeight="false" outlineLevel="0" collapsed="false">
      <c r="A311" s="85" t="str">
        <f aca="false">SRC_Perf!$A23&amp;""</f>
        <v>SRC_PERF_019</v>
      </c>
      <c r="B311" s="54" t="s">
        <v>6786</v>
      </c>
      <c r="C311" s="53" t="n">
        <v>23</v>
      </c>
      <c r="D311" s="85" t="str">
        <f aca="false">SRC_Perf!$O23</f>
        <v>Active</v>
      </c>
      <c r="E311" s="85" t="n">
        <f aca="false">SRC_Perf!$K23</f>
        <v>1</v>
      </c>
      <c r="F311" s="85" t="str">
        <f aca="false">SRC_Perf!$S23</f>
        <v>—</v>
      </c>
    </row>
    <row r="312" customFormat="false" ht="15" hidden="false" customHeight="false" outlineLevel="0" collapsed="false">
      <c r="A312" s="85" t="str">
        <f aca="false">SRC_Perf!$A24&amp;""</f>
        <v>SRC_PERF_020</v>
      </c>
      <c r="B312" s="54" t="s">
        <v>6786</v>
      </c>
      <c r="C312" s="53" t="n">
        <v>24</v>
      </c>
      <c r="D312" s="85" t="str">
        <f aca="false">SRC_Perf!$O24</f>
        <v>Active</v>
      </c>
      <c r="E312" s="85" t="n">
        <f aca="false">SRC_Perf!$K24</f>
        <v>1</v>
      </c>
      <c r="F312" s="85" t="str">
        <f aca="false">SRC_Perf!$S24</f>
        <v>—</v>
      </c>
    </row>
    <row r="313" customFormat="false" ht="15" hidden="false" customHeight="false" outlineLevel="0" collapsed="false">
      <c r="A313" s="85" t="str">
        <f aca="false">SRC_Perf!$A25&amp;""</f>
        <v>SRC_PERF_021</v>
      </c>
      <c r="B313" s="54" t="s">
        <v>6786</v>
      </c>
      <c r="C313" s="53" t="n">
        <v>25</v>
      </c>
      <c r="D313" s="85" t="str">
        <f aca="false">SRC_Perf!$O25</f>
        <v>Active</v>
      </c>
      <c r="E313" s="85" t="n">
        <f aca="false">SRC_Perf!$K25</f>
        <v>1</v>
      </c>
      <c r="F313" s="85" t="str">
        <f aca="false">SRC_Perf!$S25</f>
        <v>—</v>
      </c>
    </row>
    <row r="314" customFormat="false" ht="15" hidden="false" customHeight="false" outlineLevel="0" collapsed="false">
      <c r="A314" s="85" t="str">
        <f aca="false">SRC_Perf!$A26&amp;""</f>
        <v>SRC_PERF_022</v>
      </c>
      <c r="B314" s="54" t="s">
        <v>6786</v>
      </c>
      <c r="C314" s="53" t="n">
        <v>26</v>
      </c>
      <c r="D314" s="85" t="str">
        <f aca="false">SRC_Perf!$O26</f>
        <v>Active</v>
      </c>
      <c r="E314" s="85" t="n">
        <f aca="false">SRC_Perf!$K26</f>
        <v>1</v>
      </c>
      <c r="F314" s="85" t="str">
        <f aca="false">SRC_Perf!$S26</f>
        <v>—</v>
      </c>
    </row>
    <row r="315" customFormat="false" ht="15" hidden="false" customHeight="false" outlineLevel="0" collapsed="false">
      <c r="A315" s="85" t="str">
        <f aca="false">SRC_Perf!$A27&amp;""</f>
        <v>SRC_PERF_023</v>
      </c>
      <c r="B315" s="54" t="s">
        <v>6786</v>
      </c>
      <c r="C315" s="53" t="n">
        <v>27</v>
      </c>
      <c r="D315" s="85" t="str">
        <f aca="false">SRC_Perf!$O27</f>
        <v>Active</v>
      </c>
      <c r="E315" s="85" t="n">
        <f aca="false">SRC_Perf!$K27</f>
        <v>3</v>
      </c>
      <c r="F315" s="85" t="str">
        <f aca="false">SRC_Perf!$S27</f>
        <v>—</v>
      </c>
    </row>
    <row r="316" customFormat="false" ht="15" hidden="false" customHeight="false" outlineLevel="0" collapsed="false">
      <c r="A316" s="85" t="str">
        <f aca="false">SRC_Perf!$A28&amp;""</f>
        <v>SRC_PERF_024</v>
      </c>
      <c r="B316" s="54" t="s">
        <v>6786</v>
      </c>
      <c r="C316" s="53" t="n">
        <v>28</v>
      </c>
      <c r="D316" s="85" t="str">
        <f aca="false">SRC_Perf!$O28</f>
        <v>Active</v>
      </c>
      <c r="E316" s="85" t="n">
        <f aca="false">SRC_Perf!$K28</f>
        <v>2</v>
      </c>
      <c r="F316" s="85" t="str">
        <f aca="false">SRC_Perf!$S28</f>
        <v>—</v>
      </c>
    </row>
    <row r="317" customFormat="false" ht="15" hidden="false" customHeight="false" outlineLevel="0" collapsed="false">
      <c r="A317" s="85" t="str">
        <f aca="false">SRC_Perf!$A29&amp;""</f>
        <v>SRC_PERF_025</v>
      </c>
      <c r="B317" s="54" t="s">
        <v>6786</v>
      </c>
      <c r="C317" s="53" t="n">
        <v>29</v>
      </c>
      <c r="D317" s="85" t="str">
        <f aca="false">SRC_Perf!$O29</f>
        <v>Active</v>
      </c>
      <c r="E317" s="85" t="n">
        <f aca="false">SRC_Perf!$K29</f>
        <v>2</v>
      </c>
      <c r="F317" s="85" t="str">
        <f aca="false">SRC_Perf!$S29</f>
        <v>—</v>
      </c>
    </row>
    <row r="318" customFormat="false" ht="15" hidden="false" customHeight="false" outlineLevel="0" collapsed="false">
      <c r="A318" s="85" t="str">
        <f aca="false">SRC_Perf!$A30&amp;""</f>
        <v>SRC_PERF_026</v>
      </c>
      <c r="B318" s="54" t="s">
        <v>6786</v>
      </c>
      <c r="C318" s="53" t="n">
        <v>30</v>
      </c>
      <c r="D318" s="85" t="str">
        <f aca="false">SRC_Perf!$O30</f>
        <v>Active</v>
      </c>
      <c r="E318" s="85" t="n">
        <f aca="false">SRC_Perf!$K30</f>
        <v>2</v>
      </c>
      <c r="F318" s="85" t="str">
        <f aca="false">SRC_Perf!$S30</f>
        <v>—</v>
      </c>
    </row>
    <row r="319" customFormat="false" ht="15" hidden="false" customHeight="false" outlineLevel="0" collapsed="false">
      <c r="A319" s="85" t="str">
        <f aca="false">SRC_Perf!$A31&amp;""</f>
        <v>SRC_PERF_027</v>
      </c>
      <c r="B319" s="54" t="s">
        <v>6786</v>
      </c>
      <c r="C319" s="53" t="n">
        <v>31</v>
      </c>
      <c r="D319" s="85" t="str">
        <f aca="false">SRC_Perf!$O31</f>
        <v>Active</v>
      </c>
      <c r="E319" s="85" t="n">
        <f aca="false">SRC_Perf!$K31</f>
        <v>1</v>
      </c>
      <c r="F319" s="85" t="str">
        <f aca="false">SRC_Perf!$S31</f>
        <v>2026-10-06</v>
      </c>
    </row>
    <row r="320" customFormat="false" ht="15" hidden="false" customHeight="false" outlineLevel="0" collapsed="false">
      <c r="A320" s="85" t="str">
        <f aca="false">SRC_Perf!$A32&amp;""</f>
        <v>SRC_PERF_028</v>
      </c>
      <c r="B320" s="54" t="s">
        <v>6786</v>
      </c>
      <c r="C320" s="53" t="n">
        <v>32</v>
      </c>
      <c r="D320" s="85" t="str">
        <f aca="false">SRC_Perf!$O32</f>
        <v>Active</v>
      </c>
      <c r="E320" s="85" t="n">
        <f aca="false">SRC_Perf!$K32</f>
        <v>1</v>
      </c>
      <c r="F320" s="85" t="str">
        <f aca="false">SRC_Perf!$S32</f>
        <v>2026-10-06</v>
      </c>
    </row>
    <row r="321" customFormat="false" ht="15" hidden="false" customHeight="false" outlineLevel="0" collapsed="false">
      <c r="A321" s="85" t="str">
        <f aca="false">SRC_Perf!$A33&amp;""</f>
        <v>SRC_PERF_029</v>
      </c>
      <c r="B321" s="54" t="s">
        <v>6786</v>
      </c>
      <c r="C321" s="53" t="n">
        <v>33</v>
      </c>
      <c r="D321" s="85" t="str">
        <f aca="false">SRC_Perf!$O33</f>
        <v>Active</v>
      </c>
      <c r="E321" s="85" t="n">
        <f aca="false">SRC_Perf!$K33</f>
        <v>1</v>
      </c>
      <c r="F321" s="85" t="str">
        <f aca="false">SRC_Perf!$S33</f>
        <v>—</v>
      </c>
    </row>
    <row r="322" customFormat="false" ht="15" hidden="false" customHeight="false" outlineLevel="0" collapsed="false">
      <c r="A322" s="85" t="str">
        <f aca="false">SRC_Perf!$A34&amp;""</f>
        <v>SRC_PERF_030</v>
      </c>
      <c r="B322" s="54" t="s">
        <v>6786</v>
      </c>
      <c r="C322" s="53" t="n">
        <v>34</v>
      </c>
      <c r="D322" s="85" t="str">
        <f aca="false">SRC_Perf!$O34</f>
        <v>Active</v>
      </c>
      <c r="E322" s="85" t="n">
        <f aca="false">SRC_Perf!$K34</f>
        <v>1</v>
      </c>
      <c r="F322" s="85" t="str">
        <f aca="false">SRC_Perf!$S34</f>
        <v>—</v>
      </c>
    </row>
    <row r="323" customFormat="false" ht="15" hidden="false" customHeight="false" outlineLevel="0" collapsed="false">
      <c r="A323" s="85" t="str">
        <f aca="false">SRC_Perf!$A35&amp;""</f>
        <v>SRC_PERF_031</v>
      </c>
      <c r="B323" s="54" t="s">
        <v>6786</v>
      </c>
      <c r="C323" s="53" t="n">
        <v>35</v>
      </c>
      <c r="D323" s="85" t="str">
        <f aca="false">SRC_Perf!$O35</f>
        <v>Active</v>
      </c>
      <c r="E323" s="85" t="n">
        <f aca="false">SRC_Perf!$K35</f>
        <v>1</v>
      </c>
      <c r="F323" s="85" t="str">
        <f aca="false">SRC_Perf!$S35</f>
        <v>—</v>
      </c>
    </row>
    <row r="324" customFormat="false" ht="15" hidden="false" customHeight="false" outlineLevel="0" collapsed="false">
      <c r="A324" s="85" t="str">
        <f aca="false">SRC_Perf!$A36&amp;""</f>
        <v>SRC_PERF_032</v>
      </c>
      <c r="B324" s="54" t="s">
        <v>6786</v>
      </c>
      <c r="C324" s="53" t="n">
        <v>36</v>
      </c>
      <c r="D324" s="85" t="str">
        <f aca="false">SRC_Perf!$O36</f>
        <v>Active</v>
      </c>
      <c r="E324" s="85" t="n">
        <f aca="false">SRC_Perf!$K36</f>
        <v>1</v>
      </c>
      <c r="F324" s="85" t="str">
        <f aca="false">SRC_Perf!$S36</f>
        <v>—</v>
      </c>
    </row>
    <row r="325" customFormat="false" ht="15" hidden="false" customHeight="false" outlineLevel="0" collapsed="false">
      <c r="A325" s="85" t="str">
        <f aca="false">SRC_Perf!$A37&amp;""</f>
        <v>SRC_PERF_033</v>
      </c>
      <c r="B325" s="54" t="s">
        <v>6786</v>
      </c>
      <c r="C325" s="53" t="n">
        <v>37</v>
      </c>
      <c r="D325" s="85" t="str">
        <f aca="false">SRC_Perf!$O37</f>
        <v>Active</v>
      </c>
      <c r="E325" s="85" t="n">
        <f aca="false">SRC_Perf!$K37</f>
        <v>1</v>
      </c>
      <c r="F325" s="85" t="str">
        <f aca="false">SRC_Perf!$S37</f>
        <v>—</v>
      </c>
    </row>
    <row r="326" customFormat="false" ht="15" hidden="false" customHeight="false" outlineLevel="0" collapsed="false">
      <c r="A326" s="85" t="str">
        <f aca="false">SRC_Perf!$A38&amp;""</f>
        <v>SRC_PERF_034</v>
      </c>
      <c r="B326" s="54" t="s">
        <v>6786</v>
      </c>
      <c r="C326" s="53" t="n">
        <v>38</v>
      </c>
      <c r="D326" s="85" t="str">
        <f aca="false">SRC_Perf!$O38</f>
        <v>Active</v>
      </c>
      <c r="E326" s="85" t="n">
        <f aca="false">SRC_Perf!$K38</f>
        <v>1</v>
      </c>
      <c r="F326" s="85" t="str">
        <f aca="false">SRC_Perf!$S38</f>
        <v>—</v>
      </c>
    </row>
    <row r="327" customFormat="false" ht="15" hidden="false" customHeight="false" outlineLevel="0" collapsed="false">
      <c r="A327" s="85" t="str">
        <f aca="false">SRC_Perf!$A39&amp;""</f>
        <v>SRC_PERF_035</v>
      </c>
      <c r="B327" s="54" t="s">
        <v>6786</v>
      </c>
      <c r="C327" s="53" t="n">
        <v>39</v>
      </c>
      <c r="D327" s="85" t="str">
        <f aca="false">SRC_Perf!$O39</f>
        <v>Active</v>
      </c>
      <c r="E327" s="85" t="n">
        <f aca="false">SRC_Perf!$K39</f>
        <v>1</v>
      </c>
      <c r="F327" s="85" t="str">
        <f aca="false">SRC_Perf!$S39</f>
        <v>—</v>
      </c>
    </row>
    <row r="328" customFormat="false" ht="15" hidden="false" customHeight="false" outlineLevel="0" collapsed="false">
      <c r="A328" s="85" t="str">
        <f aca="false">SRC_Perf!$A40&amp;""</f>
        <v>SRC_PERF_036</v>
      </c>
      <c r="B328" s="54" t="s">
        <v>6786</v>
      </c>
      <c r="C328" s="53" t="n">
        <v>40</v>
      </c>
      <c r="D328" s="85" t="str">
        <f aca="false">SRC_Perf!$O40</f>
        <v>Active</v>
      </c>
      <c r="E328" s="85" t="n">
        <f aca="false">SRC_Perf!$K40</f>
        <v>1</v>
      </c>
      <c r="F328" s="85" t="str">
        <f aca="false">SRC_Perf!$S40</f>
        <v>2026-10-05</v>
      </c>
    </row>
    <row r="329" customFormat="false" ht="15" hidden="false" customHeight="false" outlineLevel="0" collapsed="false">
      <c r="A329" s="85" t="str">
        <f aca="false">SRC_Perf!$A41&amp;""</f>
        <v>SRC_PERF_037</v>
      </c>
      <c r="B329" s="54" t="s">
        <v>6786</v>
      </c>
      <c r="C329" s="53" t="n">
        <v>41</v>
      </c>
      <c r="D329" s="85" t="str">
        <f aca="false">SRC_Perf!$O41</f>
        <v>Active</v>
      </c>
      <c r="E329" s="85" t="n">
        <f aca="false">SRC_Perf!$K41</f>
        <v>1</v>
      </c>
      <c r="F329" s="85" t="str">
        <f aca="false">SRC_Perf!$S41</f>
        <v>2026-10-05</v>
      </c>
    </row>
    <row r="330" customFormat="false" ht="15" hidden="false" customHeight="false" outlineLevel="0" collapsed="false">
      <c r="A330" s="85" t="str">
        <f aca="false">SRC_Perf!$A42&amp;""</f>
        <v>SRC_PERF_038</v>
      </c>
      <c r="B330" s="54" t="s">
        <v>6786</v>
      </c>
      <c r="C330" s="53" t="n">
        <v>42</v>
      </c>
      <c r="D330" s="85" t="str">
        <f aca="false">SRC_Perf!$O42</f>
        <v>Active</v>
      </c>
      <c r="E330" s="85" t="n">
        <f aca="false">SRC_Perf!$K42</f>
        <v>1</v>
      </c>
      <c r="F330" s="85" t="str">
        <f aca="false">SRC_Perf!$S42</f>
        <v>—</v>
      </c>
    </row>
    <row r="331" customFormat="false" ht="15" hidden="false" customHeight="false" outlineLevel="0" collapsed="false">
      <c r="A331" s="85" t="str">
        <f aca="false">SRC_Perf!$A43&amp;""</f>
        <v>SRC_PERF_039</v>
      </c>
      <c r="B331" s="54" t="s">
        <v>6786</v>
      </c>
      <c r="C331" s="53" t="n">
        <v>43</v>
      </c>
      <c r="D331" s="85" t="str">
        <f aca="false">SRC_Perf!$O43</f>
        <v>Active</v>
      </c>
      <c r="E331" s="85" t="n">
        <f aca="false">SRC_Perf!$K43</f>
        <v>1</v>
      </c>
      <c r="F331" s="85" t="str">
        <f aca="false">SRC_Perf!$S43</f>
        <v>—</v>
      </c>
    </row>
    <row r="332" customFormat="false" ht="15" hidden="false" customHeight="false" outlineLevel="0" collapsed="false">
      <c r="A332" s="85" t="str">
        <f aca="false">SRC_Perf!$A44&amp;""</f>
        <v>SRC_PERF_040</v>
      </c>
      <c r="B332" s="54" t="s">
        <v>6786</v>
      </c>
      <c r="C332" s="53" t="n">
        <v>44</v>
      </c>
      <c r="D332" s="85" t="str">
        <f aca="false">SRC_Perf!$O44</f>
        <v>Active</v>
      </c>
      <c r="E332" s="85" t="n">
        <f aca="false">SRC_Perf!$K44</f>
        <v>1</v>
      </c>
      <c r="F332" s="85" t="str">
        <f aca="false">SRC_Perf!$S44</f>
        <v>—</v>
      </c>
    </row>
    <row r="333" customFormat="false" ht="15" hidden="false" customHeight="false" outlineLevel="0" collapsed="false">
      <c r="A333" s="85" t="str">
        <f aca="false">SRC_Perf!$A45&amp;""</f>
        <v>SRC_PERF_041</v>
      </c>
      <c r="B333" s="54" t="s">
        <v>6786</v>
      </c>
      <c r="C333" s="53" t="n">
        <v>45</v>
      </c>
      <c r="D333" s="85" t="str">
        <f aca="false">SRC_Perf!$O45</f>
        <v>Active</v>
      </c>
      <c r="E333" s="85" t="n">
        <f aca="false">SRC_Perf!$K45</f>
        <v>1</v>
      </c>
      <c r="F333" s="85" t="str">
        <f aca="false">SRC_Perf!$S45</f>
        <v>—</v>
      </c>
    </row>
    <row r="334" customFormat="false" ht="15" hidden="false" customHeight="false" outlineLevel="0" collapsed="false">
      <c r="A334" s="85" t="str">
        <f aca="false">SRC_Perf!$A46&amp;""</f>
        <v>SRC_PERF_042</v>
      </c>
      <c r="B334" s="54" t="s">
        <v>6786</v>
      </c>
      <c r="C334" s="53" t="n">
        <v>46</v>
      </c>
      <c r="D334" s="85" t="str">
        <f aca="false">SRC_Perf!$O46</f>
        <v>Active</v>
      </c>
      <c r="E334" s="85" t="n">
        <f aca="false">SRC_Perf!$K46</f>
        <v>1</v>
      </c>
      <c r="F334" s="85" t="str">
        <f aca="false">SRC_Perf!$S46</f>
        <v>—</v>
      </c>
    </row>
    <row r="335" customFormat="false" ht="15" hidden="false" customHeight="false" outlineLevel="0" collapsed="false">
      <c r="A335" s="85" t="str">
        <f aca="false">SRC_Perf!$A47&amp;""</f>
        <v>SRC_PERF_043</v>
      </c>
      <c r="B335" s="54" t="s">
        <v>6786</v>
      </c>
      <c r="C335" s="53" t="n">
        <v>47</v>
      </c>
      <c r="D335" s="85" t="str">
        <f aca="false">SRC_Perf!$O47</f>
        <v>Active</v>
      </c>
      <c r="E335" s="85" t="n">
        <f aca="false">SRC_Perf!$K47</f>
        <v>1</v>
      </c>
      <c r="F335" s="85" t="str">
        <f aca="false">SRC_Perf!$S47</f>
        <v>—</v>
      </c>
    </row>
    <row r="336" customFormat="false" ht="15" hidden="false" customHeight="false" outlineLevel="0" collapsed="false">
      <c r="A336" s="85" t="str">
        <f aca="false">SRC_Perf!$A48&amp;""</f>
        <v>SRC_PERF_044</v>
      </c>
      <c r="B336" s="54" t="s">
        <v>6786</v>
      </c>
      <c r="C336" s="53" t="n">
        <v>48</v>
      </c>
      <c r="D336" s="85" t="str">
        <f aca="false">SRC_Perf!$O48</f>
        <v>Active</v>
      </c>
      <c r="E336" s="85" t="n">
        <f aca="false">SRC_Perf!$K48</f>
        <v>1</v>
      </c>
      <c r="F336" s="85" t="str">
        <f aca="false">SRC_Perf!$S48</f>
        <v>—</v>
      </c>
    </row>
    <row r="337" customFormat="false" ht="15" hidden="false" customHeight="false" outlineLevel="0" collapsed="false">
      <c r="A337" s="85" t="str">
        <f aca="false">SRC_Perf!$A49&amp;""</f>
        <v>SRC_PERF_045</v>
      </c>
      <c r="B337" s="54" t="s">
        <v>6786</v>
      </c>
      <c r="C337" s="53" t="n">
        <v>49</v>
      </c>
      <c r="D337" s="85" t="str">
        <f aca="false">SRC_Perf!$O49</f>
        <v>Active</v>
      </c>
      <c r="E337" s="85" t="n">
        <f aca="false">SRC_Perf!$K49</f>
        <v>1</v>
      </c>
      <c r="F337" s="85" t="str">
        <f aca="false">SRC_Perf!$S49</f>
        <v>—</v>
      </c>
    </row>
    <row r="338" customFormat="false" ht="15" hidden="false" customHeight="false" outlineLevel="0" collapsed="false">
      <c r="A338" s="85" t="str">
        <f aca="false">SRC_Perf!$A50&amp;""</f>
        <v>SRC_PERF_046</v>
      </c>
      <c r="B338" s="54" t="s">
        <v>6786</v>
      </c>
      <c r="C338" s="53" t="n">
        <v>50</v>
      </c>
      <c r="D338" s="85" t="str">
        <f aca="false">SRC_Perf!$O50</f>
        <v>Active</v>
      </c>
      <c r="E338" s="85" t="n">
        <f aca="false">SRC_Perf!$K50</f>
        <v>1</v>
      </c>
      <c r="F338" s="85" t="str">
        <f aca="false">SRC_Perf!$S50</f>
        <v>—</v>
      </c>
    </row>
    <row r="339" customFormat="false" ht="15" hidden="false" customHeight="false" outlineLevel="0" collapsed="false">
      <c r="A339" s="85" t="str">
        <f aca="false">SRC_Perf!$A51&amp;""</f>
        <v>SRC_PERF_047</v>
      </c>
      <c r="B339" s="54" t="s">
        <v>6786</v>
      </c>
      <c r="C339" s="53" t="n">
        <v>51</v>
      </c>
      <c r="D339" s="85" t="str">
        <f aca="false">SRC_Perf!$O51</f>
        <v>Active</v>
      </c>
      <c r="E339" s="85" t="n">
        <f aca="false">SRC_Perf!$K51</f>
        <v>1</v>
      </c>
      <c r="F339" s="85" t="str">
        <f aca="false">SRC_Perf!$S51</f>
        <v>—</v>
      </c>
    </row>
    <row r="340" customFormat="false" ht="15" hidden="false" customHeight="false" outlineLevel="0" collapsed="false">
      <c r="A340" s="85" t="str">
        <f aca="false">SRC_Perf!$A52&amp;""</f>
        <v>SRC_PERF_048</v>
      </c>
      <c r="B340" s="54" t="s">
        <v>6786</v>
      </c>
      <c r="C340" s="53" t="n">
        <v>52</v>
      </c>
      <c r="D340" s="85" t="str">
        <f aca="false">SRC_Perf!$O52</f>
        <v>Active</v>
      </c>
      <c r="E340" s="85" t="n">
        <f aca="false">SRC_Perf!$K52</f>
        <v>1</v>
      </c>
      <c r="F340" s="85" t="str">
        <f aca="false">SRC_Perf!$S52</f>
        <v>—</v>
      </c>
    </row>
    <row r="341" customFormat="false" ht="15" hidden="false" customHeight="false" outlineLevel="0" collapsed="false">
      <c r="A341" s="85" t="str">
        <f aca="false">SRC_Perf!$A53&amp;""</f>
        <v>SRC_PERF_049</v>
      </c>
      <c r="B341" s="54" t="s">
        <v>6786</v>
      </c>
      <c r="C341" s="53" t="n">
        <v>53</v>
      </c>
      <c r="D341" s="85" t="str">
        <f aca="false">SRC_Perf!$O53</f>
        <v>Active</v>
      </c>
      <c r="E341" s="85" t="n">
        <f aca="false">SRC_Perf!$K53</f>
        <v>1</v>
      </c>
      <c r="F341" s="85" t="str">
        <f aca="false">SRC_Perf!$S53</f>
        <v>—</v>
      </c>
    </row>
    <row r="342" customFormat="false" ht="15" hidden="false" customHeight="false" outlineLevel="0" collapsed="false">
      <c r="A342" s="85" t="str">
        <f aca="false">SRC_Perf!$A54&amp;""</f>
        <v>SRC_PERF_050</v>
      </c>
      <c r="B342" s="54" t="s">
        <v>6786</v>
      </c>
      <c r="C342" s="53" t="n">
        <v>54</v>
      </c>
      <c r="D342" s="85" t="str">
        <f aca="false">SRC_Perf!$O54</f>
        <v>Active</v>
      </c>
      <c r="E342" s="85" t="n">
        <f aca="false">SRC_Perf!$K54</f>
        <v>1</v>
      </c>
      <c r="F342" s="85" t="str">
        <f aca="false">SRC_Perf!$S54</f>
        <v>—</v>
      </c>
    </row>
    <row r="343" customFormat="false" ht="15" hidden="false" customHeight="false" outlineLevel="0" collapsed="false">
      <c r="A343" s="85" t="str">
        <f aca="false">SRC_Perf!$A55&amp;""</f>
        <v>SRC_PERF_051</v>
      </c>
      <c r="B343" s="54" t="s">
        <v>6786</v>
      </c>
      <c r="C343" s="53" t="n">
        <v>55</v>
      </c>
      <c r="D343" s="85" t="str">
        <f aca="false">SRC_Perf!$O55</f>
        <v>Active</v>
      </c>
      <c r="E343" s="85" t="n">
        <f aca="false">SRC_Perf!$K55</f>
        <v>1</v>
      </c>
      <c r="F343" s="85" t="str">
        <f aca="false">SRC_Perf!$S55</f>
        <v>—</v>
      </c>
    </row>
    <row r="344" customFormat="false" ht="15" hidden="false" customHeight="false" outlineLevel="0" collapsed="false">
      <c r="A344" s="85" t="str">
        <f aca="false">SRC_Perf!$A56&amp;""</f>
        <v>SRC_PERF_052</v>
      </c>
      <c r="B344" s="54" t="s">
        <v>6786</v>
      </c>
      <c r="C344" s="53" t="n">
        <v>56</v>
      </c>
      <c r="D344" s="85" t="str">
        <f aca="false">SRC_Perf!$O56</f>
        <v>Active</v>
      </c>
      <c r="E344" s="85" t="n">
        <f aca="false">SRC_Perf!$K56</f>
        <v>1</v>
      </c>
      <c r="F344" s="85" t="str">
        <f aca="false">SRC_Perf!$S56</f>
        <v>—</v>
      </c>
    </row>
    <row r="345" customFormat="false" ht="15" hidden="false" customHeight="false" outlineLevel="0" collapsed="false">
      <c r="A345" s="85" t="str">
        <f aca="false">SRC_Perf!$A57&amp;""</f>
        <v>SRC_PERF_053</v>
      </c>
      <c r="B345" s="54" t="s">
        <v>6786</v>
      </c>
      <c r="C345" s="53" t="n">
        <v>57</v>
      </c>
      <c r="D345" s="85" t="str">
        <f aca="false">SRC_Perf!$O57</f>
        <v>Active</v>
      </c>
      <c r="E345" s="85" t="n">
        <f aca="false">SRC_Perf!$K57</f>
        <v>1</v>
      </c>
      <c r="F345" s="85" t="str">
        <f aca="false">SRC_Perf!$S57</f>
        <v>—</v>
      </c>
    </row>
    <row r="346" customFormat="false" ht="15" hidden="false" customHeight="false" outlineLevel="0" collapsed="false">
      <c r="A346" s="85" t="str">
        <f aca="false">SRC_Perf!$A58&amp;""</f>
        <v>SRC_PERF_054</v>
      </c>
      <c r="B346" s="54" t="s">
        <v>6786</v>
      </c>
      <c r="C346" s="53" t="n">
        <v>58</v>
      </c>
      <c r="D346" s="85" t="str">
        <f aca="false">SRC_Perf!$O58</f>
        <v>Active</v>
      </c>
      <c r="E346" s="85" t="n">
        <f aca="false">SRC_Perf!$K58</f>
        <v>1</v>
      </c>
      <c r="F346" s="85" t="str">
        <f aca="false">SRC_Perf!$S58</f>
        <v>—</v>
      </c>
    </row>
    <row r="347" customFormat="false" ht="15" hidden="false" customHeight="false" outlineLevel="0" collapsed="false">
      <c r="A347" s="85" t="str">
        <f aca="false">SRC_Perf!$A59&amp;""</f>
        <v>SRC_PERF_055</v>
      </c>
      <c r="B347" s="54" t="s">
        <v>6786</v>
      </c>
      <c r="C347" s="53" t="n">
        <v>59</v>
      </c>
      <c r="D347" s="85" t="str">
        <f aca="false">SRC_Perf!$O59</f>
        <v>Active</v>
      </c>
      <c r="E347" s="85" t="n">
        <f aca="false">SRC_Perf!$K59</f>
        <v>1</v>
      </c>
      <c r="F347" s="85" t="str">
        <f aca="false">SRC_Perf!$S59</f>
        <v>—</v>
      </c>
    </row>
    <row r="348" customFormat="false" ht="15" hidden="false" customHeight="false" outlineLevel="0" collapsed="false">
      <c r="A348" s="85" t="str">
        <f aca="false">SRC_Perf!$A60&amp;""</f>
        <v>SRC_PERF_056</v>
      </c>
      <c r="B348" s="54" t="s">
        <v>6786</v>
      </c>
      <c r="C348" s="53" t="n">
        <v>60</v>
      </c>
      <c r="D348" s="85" t="str">
        <f aca="false">SRC_Perf!$O60</f>
        <v>Active</v>
      </c>
      <c r="E348" s="85" t="n">
        <f aca="false">SRC_Perf!$K60</f>
        <v>1</v>
      </c>
      <c r="F348" s="85" t="str">
        <f aca="false">SRC_Perf!$S60</f>
        <v>—</v>
      </c>
    </row>
    <row r="349" customFormat="false" ht="15" hidden="false" customHeight="false" outlineLevel="0" collapsed="false">
      <c r="A349" s="85" t="str">
        <f aca="false">SRC_Perf!$A61&amp;""</f>
        <v>SRC_PERF_057</v>
      </c>
      <c r="B349" s="54" t="s">
        <v>6786</v>
      </c>
      <c r="C349" s="53" t="n">
        <v>61</v>
      </c>
      <c r="D349" s="85" t="str">
        <f aca="false">SRC_Perf!$O61</f>
        <v>Active</v>
      </c>
      <c r="E349" s="85" t="n">
        <f aca="false">SRC_Perf!$K61</f>
        <v>1</v>
      </c>
      <c r="F349" s="85" t="str">
        <f aca="false">SRC_Perf!$S61</f>
        <v>—</v>
      </c>
    </row>
    <row r="350" customFormat="false" ht="15" hidden="false" customHeight="false" outlineLevel="0" collapsed="false">
      <c r="A350" s="85" t="str">
        <f aca="false">SRC_Perf!$A62&amp;""</f>
        <v>SRC_PERF_058</v>
      </c>
      <c r="B350" s="54" t="s">
        <v>6786</v>
      </c>
      <c r="C350" s="53" t="n">
        <v>62</v>
      </c>
      <c r="D350" s="85" t="str">
        <f aca="false">SRC_Perf!$O62</f>
        <v>Active</v>
      </c>
      <c r="E350" s="85" t="n">
        <f aca="false">SRC_Perf!$K62</f>
        <v>1</v>
      </c>
      <c r="F350" s="85" t="str">
        <f aca="false">SRC_Perf!$S62</f>
        <v>—</v>
      </c>
    </row>
    <row r="351" customFormat="false" ht="15" hidden="false" customHeight="false" outlineLevel="0" collapsed="false">
      <c r="A351" s="85" t="str">
        <f aca="false">SRC_Perf!$A63&amp;""</f>
        <v>SRC_PERF_059</v>
      </c>
      <c r="B351" s="54" t="s">
        <v>6786</v>
      </c>
      <c r="C351" s="53" t="n">
        <v>63</v>
      </c>
      <c r="D351" s="85" t="str">
        <f aca="false">SRC_Perf!$O63</f>
        <v>Active</v>
      </c>
      <c r="E351" s="85" t="n">
        <f aca="false">SRC_Perf!$K63</f>
        <v>1</v>
      </c>
      <c r="F351" s="85" t="str">
        <f aca="false">SRC_Perf!$S63</f>
        <v>—</v>
      </c>
    </row>
    <row r="352" customFormat="false" ht="15" hidden="false" customHeight="false" outlineLevel="0" collapsed="false">
      <c r="A352" s="85" t="str">
        <f aca="false">SRC_Perf!$A64&amp;""</f>
        <v/>
      </c>
      <c r="B352" s="54" t="s">
        <v>6786</v>
      </c>
      <c r="C352" s="53" t="n">
        <v>64</v>
      </c>
      <c r="D352" s="85" t="n">
        <f aca="false">SRC_Perf!$O64</f>
        <v>0</v>
      </c>
      <c r="E352" s="85" t="n">
        <f aca="false">SRC_Perf!$K64</f>
        <v>0</v>
      </c>
      <c r="F352" s="85" t="n">
        <f aca="false">SRC_Perf!$S64</f>
        <v>0</v>
      </c>
    </row>
    <row r="353" customFormat="false" ht="15" hidden="false" customHeight="false" outlineLevel="0" collapsed="false">
      <c r="A353" s="85" t="str">
        <f aca="false">SRC_Perf!$A65&amp;""</f>
        <v/>
      </c>
      <c r="B353" s="54" t="s">
        <v>6786</v>
      </c>
      <c r="C353" s="53" t="n">
        <v>65</v>
      </c>
      <c r="D353" s="85" t="n">
        <f aca="false">SRC_Perf!$O65</f>
        <v>0</v>
      </c>
      <c r="E353" s="85" t="n">
        <f aca="false">SRC_Perf!$K65</f>
        <v>0</v>
      </c>
      <c r="F353" s="85" t="n">
        <f aca="false">SRC_Perf!$S65</f>
        <v>0</v>
      </c>
    </row>
    <row r="354" customFormat="false" ht="15" hidden="false" customHeight="false" outlineLevel="0" collapsed="false">
      <c r="A354" s="85" t="str">
        <f aca="false">SRC_Perf!$A66&amp;""</f>
        <v/>
      </c>
      <c r="B354" s="54" t="s">
        <v>6786</v>
      </c>
      <c r="C354" s="53" t="n">
        <v>66</v>
      </c>
      <c r="D354" s="85" t="n">
        <f aca="false">SRC_Perf!$O66</f>
        <v>0</v>
      </c>
      <c r="E354" s="85" t="n">
        <f aca="false">SRC_Perf!$K66</f>
        <v>0</v>
      </c>
      <c r="F354" s="85" t="n">
        <f aca="false">SRC_Perf!$S66</f>
        <v>0</v>
      </c>
    </row>
    <row r="355" customFormat="false" ht="15" hidden="false" customHeight="false" outlineLevel="0" collapsed="false">
      <c r="A355" s="85" t="str">
        <f aca="false">SRC_Perf!$A67&amp;""</f>
        <v/>
      </c>
      <c r="B355" s="54" t="s">
        <v>6786</v>
      </c>
      <c r="C355" s="53" t="n">
        <v>67</v>
      </c>
      <c r="D355" s="85" t="n">
        <f aca="false">SRC_Perf!$O67</f>
        <v>0</v>
      </c>
      <c r="E355" s="85" t="n">
        <f aca="false">SRC_Perf!$K67</f>
        <v>0</v>
      </c>
      <c r="F355" s="85" t="n">
        <f aca="false">SRC_Perf!$S67</f>
        <v>0</v>
      </c>
    </row>
    <row r="356" customFormat="false" ht="15" hidden="false" customHeight="false" outlineLevel="0" collapsed="false">
      <c r="A356" s="85" t="str">
        <f aca="false">SRC_Perf!$A68&amp;""</f>
        <v/>
      </c>
      <c r="B356" s="54" t="s">
        <v>6786</v>
      </c>
      <c r="C356" s="53" t="n">
        <v>68</v>
      </c>
      <c r="D356" s="85" t="n">
        <f aca="false">SRC_Perf!$O68</f>
        <v>0</v>
      </c>
      <c r="E356" s="85" t="n">
        <f aca="false">SRC_Perf!$K68</f>
        <v>0</v>
      </c>
      <c r="F356" s="85" t="n">
        <f aca="false">SRC_Perf!$S68</f>
        <v>0</v>
      </c>
    </row>
    <row r="357" customFormat="false" ht="15" hidden="false" customHeight="false" outlineLevel="0" collapsed="false">
      <c r="A357" s="85" t="str">
        <f aca="false">SRC_Perf!$A69&amp;""</f>
        <v/>
      </c>
      <c r="B357" s="54" t="s">
        <v>6786</v>
      </c>
      <c r="C357" s="53" t="n">
        <v>69</v>
      </c>
      <c r="D357" s="85" t="n">
        <f aca="false">SRC_Perf!$O69</f>
        <v>0</v>
      </c>
      <c r="E357" s="85" t="n">
        <f aca="false">SRC_Perf!$K69</f>
        <v>0</v>
      </c>
      <c r="F357" s="85" t="n">
        <f aca="false">SRC_Perf!$S69</f>
        <v>0</v>
      </c>
    </row>
    <row r="358" customFormat="false" ht="15" hidden="false" customHeight="false" outlineLevel="0" collapsed="false">
      <c r="A358" s="85" t="str">
        <f aca="false">SRC_Perf!$A70&amp;""</f>
        <v/>
      </c>
      <c r="B358" s="54" t="s">
        <v>6786</v>
      </c>
      <c r="C358" s="53" t="n">
        <v>70</v>
      </c>
      <c r="D358" s="85" t="n">
        <f aca="false">SRC_Perf!$O70</f>
        <v>0</v>
      </c>
      <c r="E358" s="85" t="n">
        <f aca="false">SRC_Perf!$K70</f>
        <v>0</v>
      </c>
      <c r="F358" s="85" t="n">
        <f aca="false">SRC_Perf!$S70</f>
        <v>0</v>
      </c>
    </row>
    <row r="359" customFormat="false" ht="15" hidden="false" customHeight="false" outlineLevel="0" collapsed="false">
      <c r="A359" s="85" t="str">
        <f aca="false">SRC_Perf!$A71&amp;""</f>
        <v/>
      </c>
      <c r="B359" s="54" t="s">
        <v>6786</v>
      </c>
      <c r="C359" s="53" t="n">
        <v>71</v>
      </c>
      <c r="D359" s="85" t="n">
        <f aca="false">SRC_Perf!$O71</f>
        <v>0</v>
      </c>
      <c r="E359" s="85" t="n">
        <f aca="false">SRC_Perf!$K71</f>
        <v>0</v>
      </c>
      <c r="F359" s="85" t="n">
        <f aca="false">SRC_Perf!$S71</f>
        <v>0</v>
      </c>
    </row>
    <row r="360" customFormat="false" ht="15" hidden="false" customHeight="false" outlineLevel="0" collapsed="false">
      <c r="A360" s="85" t="str">
        <f aca="false">SRC_Perf!$A72&amp;""</f>
        <v/>
      </c>
      <c r="B360" s="54" t="s">
        <v>6786</v>
      </c>
      <c r="C360" s="53" t="n">
        <v>72</v>
      </c>
      <c r="D360" s="85" t="n">
        <f aca="false">SRC_Perf!$O72</f>
        <v>0</v>
      </c>
      <c r="E360" s="85" t="n">
        <f aca="false">SRC_Perf!$K72</f>
        <v>0</v>
      </c>
      <c r="F360" s="85" t="n">
        <f aca="false">SRC_Perf!$S72</f>
        <v>0</v>
      </c>
    </row>
    <row r="361" customFormat="false" ht="15" hidden="false" customHeight="false" outlineLevel="0" collapsed="false">
      <c r="A361" s="85" t="str">
        <f aca="false">SRC_Perf!$A73&amp;""</f>
        <v/>
      </c>
      <c r="B361" s="54" t="s">
        <v>6786</v>
      </c>
      <c r="C361" s="53" t="n">
        <v>73</v>
      </c>
      <c r="D361" s="85" t="n">
        <f aca="false">SRC_Perf!$O73</f>
        <v>0</v>
      </c>
      <c r="E361" s="85" t="n">
        <f aca="false">SRC_Perf!$K73</f>
        <v>0</v>
      </c>
      <c r="F361" s="85" t="n">
        <f aca="false">SRC_Perf!$S73</f>
        <v>0</v>
      </c>
    </row>
    <row r="362" customFormat="false" ht="15" hidden="false" customHeight="false" outlineLevel="0" collapsed="false">
      <c r="A362" s="85" t="str">
        <f aca="false">SRC_Perf!$A74&amp;""</f>
        <v/>
      </c>
      <c r="B362" s="54" t="s">
        <v>6786</v>
      </c>
      <c r="C362" s="53" t="n">
        <v>74</v>
      </c>
      <c r="D362" s="85" t="n">
        <f aca="false">SRC_Perf!$O74</f>
        <v>0</v>
      </c>
      <c r="E362" s="85" t="n">
        <f aca="false">SRC_Perf!$K74</f>
        <v>0</v>
      </c>
      <c r="F362" s="85" t="n">
        <f aca="false">SRC_Perf!$S74</f>
        <v>0</v>
      </c>
    </row>
    <row r="363" customFormat="false" ht="15" hidden="false" customHeight="false" outlineLevel="0" collapsed="false">
      <c r="A363" s="85" t="str">
        <f aca="false">SRC_Perf!$A75&amp;""</f>
        <v/>
      </c>
      <c r="B363" s="54" t="s">
        <v>6786</v>
      </c>
      <c r="C363" s="53" t="n">
        <v>75</v>
      </c>
      <c r="D363" s="85" t="n">
        <f aca="false">SRC_Perf!$O75</f>
        <v>0</v>
      </c>
      <c r="E363" s="85" t="n">
        <f aca="false">SRC_Perf!$K75</f>
        <v>0</v>
      </c>
      <c r="F363" s="85" t="n">
        <f aca="false">SRC_Perf!$S75</f>
        <v>0</v>
      </c>
    </row>
    <row r="364" customFormat="false" ht="15" hidden="false" customHeight="false" outlineLevel="0" collapsed="false">
      <c r="A364" s="85" t="str">
        <f aca="false">SRC_Perf!$A76&amp;""</f>
        <v/>
      </c>
      <c r="B364" s="54" t="s">
        <v>6786</v>
      </c>
      <c r="C364" s="53" t="n">
        <v>76</v>
      </c>
      <c r="D364" s="85" t="n">
        <f aca="false">SRC_Perf!$O76</f>
        <v>0</v>
      </c>
      <c r="E364" s="85" t="n">
        <f aca="false">SRC_Perf!$K76</f>
        <v>0</v>
      </c>
      <c r="F364" s="85" t="n">
        <f aca="false">SRC_Perf!$S76</f>
        <v>0</v>
      </c>
    </row>
    <row r="365" customFormat="false" ht="15" hidden="false" customHeight="false" outlineLevel="0" collapsed="false">
      <c r="A365" s="85" t="str">
        <f aca="false">SRC_Perf!$A77&amp;""</f>
        <v/>
      </c>
      <c r="B365" s="54" t="s">
        <v>6786</v>
      </c>
      <c r="C365" s="53" t="n">
        <v>77</v>
      </c>
      <c r="D365" s="85" t="n">
        <f aca="false">SRC_Perf!$O77</f>
        <v>0</v>
      </c>
      <c r="E365" s="85" t="n">
        <f aca="false">SRC_Perf!$K77</f>
        <v>0</v>
      </c>
      <c r="F365" s="85" t="n">
        <f aca="false">SRC_Perf!$S77</f>
        <v>0</v>
      </c>
    </row>
    <row r="366" customFormat="false" ht="15" hidden="false" customHeight="false" outlineLevel="0" collapsed="false">
      <c r="A366" s="85" t="str">
        <f aca="false">SRC_Perf!$A78&amp;""</f>
        <v/>
      </c>
      <c r="B366" s="54" t="s">
        <v>6786</v>
      </c>
      <c r="C366" s="53" t="n">
        <v>78</v>
      </c>
      <c r="D366" s="85" t="n">
        <f aca="false">SRC_Perf!$O78</f>
        <v>0</v>
      </c>
      <c r="E366" s="85" t="n">
        <f aca="false">SRC_Perf!$K78</f>
        <v>0</v>
      </c>
      <c r="F366" s="85" t="n">
        <f aca="false">SRC_Perf!$S78</f>
        <v>0</v>
      </c>
    </row>
    <row r="367" customFormat="false" ht="15" hidden="false" customHeight="false" outlineLevel="0" collapsed="false">
      <c r="A367" s="85" t="str">
        <f aca="false">SRC_Perf!$A79&amp;""</f>
        <v/>
      </c>
      <c r="B367" s="54" t="s">
        <v>6786</v>
      </c>
      <c r="C367" s="53" t="n">
        <v>79</v>
      </c>
      <c r="D367" s="85" t="n">
        <f aca="false">SRC_Perf!$O79</f>
        <v>0</v>
      </c>
      <c r="E367" s="85" t="n">
        <f aca="false">SRC_Perf!$K79</f>
        <v>0</v>
      </c>
      <c r="F367" s="85" t="n">
        <f aca="false">SRC_Perf!$S79</f>
        <v>0</v>
      </c>
    </row>
    <row r="368" customFormat="false" ht="15" hidden="false" customHeight="false" outlineLevel="0" collapsed="false">
      <c r="A368" s="85" t="str">
        <f aca="false">SRC_Perf!$A80&amp;""</f>
        <v/>
      </c>
      <c r="B368" s="54" t="s">
        <v>6786</v>
      </c>
      <c r="C368" s="53" t="n">
        <v>80</v>
      </c>
      <c r="D368" s="85" t="n">
        <f aca="false">SRC_Perf!$O80</f>
        <v>0</v>
      </c>
      <c r="E368" s="85" t="n">
        <f aca="false">SRC_Perf!$K80</f>
        <v>0</v>
      </c>
      <c r="F368" s="85" t="n">
        <f aca="false">SRC_Perf!$S80</f>
        <v>0</v>
      </c>
    </row>
    <row r="369" customFormat="false" ht="15" hidden="false" customHeight="false" outlineLevel="0" collapsed="false">
      <c r="A369" s="85" t="str">
        <f aca="false">SRC_Perf!$A81&amp;""</f>
        <v/>
      </c>
      <c r="B369" s="54" t="s">
        <v>6786</v>
      </c>
      <c r="C369" s="53" t="n">
        <v>81</v>
      </c>
      <c r="D369" s="85" t="n">
        <f aca="false">SRC_Perf!$O81</f>
        <v>0</v>
      </c>
      <c r="E369" s="85" t="n">
        <f aca="false">SRC_Perf!$K81</f>
        <v>0</v>
      </c>
      <c r="F369" s="85" t="n">
        <f aca="false">SRC_Perf!$S81</f>
        <v>0</v>
      </c>
    </row>
    <row r="370" customFormat="false" ht="15" hidden="false" customHeight="false" outlineLevel="0" collapsed="false">
      <c r="A370" s="85" t="str">
        <f aca="false">SRC_Perf!$A82&amp;""</f>
        <v/>
      </c>
      <c r="B370" s="54" t="s">
        <v>6786</v>
      </c>
      <c r="C370" s="53" t="n">
        <v>82</v>
      </c>
      <c r="D370" s="85" t="n">
        <f aca="false">SRC_Perf!$O82</f>
        <v>0</v>
      </c>
      <c r="E370" s="85" t="n">
        <f aca="false">SRC_Perf!$K82</f>
        <v>0</v>
      </c>
      <c r="F370" s="85" t="n">
        <f aca="false">SRC_Perf!$S82</f>
        <v>0</v>
      </c>
    </row>
    <row r="371" customFormat="false" ht="15" hidden="false" customHeight="false" outlineLevel="0" collapsed="false">
      <c r="A371" s="85" t="str">
        <f aca="false">SRC_Perf!$A83&amp;""</f>
        <v/>
      </c>
      <c r="B371" s="54" t="s">
        <v>6786</v>
      </c>
      <c r="C371" s="53" t="n">
        <v>83</v>
      </c>
      <c r="D371" s="85" t="n">
        <f aca="false">SRC_Perf!$O83</f>
        <v>0</v>
      </c>
      <c r="E371" s="85" t="n">
        <f aca="false">SRC_Perf!$K83</f>
        <v>0</v>
      </c>
      <c r="F371" s="85" t="n">
        <f aca="false">SRC_Perf!$S83</f>
        <v>0</v>
      </c>
    </row>
    <row r="372" customFormat="false" ht="15" hidden="false" customHeight="false" outlineLevel="0" collapsed="false">
      <c r="A372" s="85" t="str">
        <f aca="false">SRC_Perf!$A84&amp;""</f>
        <v/>
      </c>
      <c r="B372" s="54" t="s">
        <v>6786</v>
      </c>
      <c r="C372" s="53" t="n">
        <v>84</v>
      </c>
      <c r="D372" s="85" t="n">
        <f aca="false">SRC_Perf!$O84</f>
        <v>0</v>
      </c>
      <c r="E372" s="85" t="n">
        <f aca="false">SRC_Perf!$K84</f>
        <v>0</v>
      </c>
      <c r="F372" s="85" t="n">
        <f aca="false">SRC_Perf!$S84</f>
        <v>0</v>
      </c>
    </row>
    <row r="373" customFormat="false" ht="15" hidden="false" customHeight="false" outlineLevel="0" collapsed="false">
      <c r="A373" s="85" t="str">
        <f aca="false">SRC_Perf!$A85&amp;""</f>
        <v/>
      </c>
      <c r="B373" s="54" t="s">
        <v>6786</v>
      </c>
      <c r="C373" s="53" t="n">
        <v>85</v>
      </c>
      <c r="D373" s="85" t="n">
        <f aca="false">SRC_Perf!$O85</f>
        <v>0</v>
      </c>
      <c r="E373" s="85" t="n">
        <f aca="false">SRC_Perf!$K85</f>
        <v>0</v>
      </c>
      <c r="F373" s="85" t="n">
        <f aca="false">SRC_Perf!$S85</f>
        <v>0</v>
      </c>
    </row>
    <row r="374" customFormat="false" ht="15" hidden="false" customHeight="false" outlineLevel="0" collapsed="false">
      <c r="A374" s="85" t="str">
        <f aca="false">SRC_Perf!$A86&amp;""</f>
        <v/>
      </c>
      <c r="B374" s="54" t="s">
        <v>6786</v>
      </c>
      <c r="C374" s="53" t="n">
        <v>86</v>
      </c>
      <c r="D374" s="85" t="n">
        <f aca="false">SRC_Perf!$O86</f>
        <v>0</v>
      </c>
      <c r="E374" s="85" t="n">
        <f aca="false">SRC_Perf!$K86</f>
        <v>0</v>
      </c>
      <c r="F374" s="85" t="n">
        <f aca="false">SRC_Perf!$S86</f>
        <v>0</v>
      </c>
    </row>
    <row r="375" customFormat="false" ht="15" hidden="false" customHeight="false" outlineLevel="0" collapsed="false">
      <c r="A375" s="85" t="str">
        <f aca="false">SRC_Perf!$A87&amp;""</f>
        <v/>
      </c>
      <c r="B375" s="54" t="s">
        <v>6786</v>
      </c>
      <c r="C375" s="53" t="n">
        <v>87</v>
      </c>
      <c r="D375" s="85" t="n">
        <f aca="false">SRC_Perf!$O87</f>
        <v>0</v>
      </c>
      <c r="E375" s="85" t="n">
        <f aca="false">SRC_Perf!$K87</f>
        <v>0</v>
      </c>
      <c r="F375" s="85" t="n">
        <f aca="false">SRC_Perf!$S87</f>
        <v>0</v>
      </c>
    </row>
    <row r="376" customFormat="false" ht="15" hidden="false" customHeight="false" outlineLevel="0" collapsed="false">
      <c r="A376" s="85" t="str">
        <f aca="false">SRC_Perf!$A88&amp;""</f>
        <v/>
      </c>
      <c r="B376" s="54" t="s">
        <v>6786</v>
      </c>
      <c r="C376" s="53" t="n">
        <v>88</v>
      </c>
      <c r="D376" s="85" t="n">
        <f aca="false">SRC_Perf!$O88</f>
        <v>0</v>
      </c>
      <c r="E376" s="85" t="n">
        <f aca="false">SRC_Perf!$K88</f>
        <v>0</v>
      </c>
      <c r="F376" s="85" t="n">
        <f aca="false">SRC_Perf!$S88</f>
        <v>0</v>
      </c>
    </row>
    <row r="377" customFormat="false" ht="15" hidden="false" customHeight="false" outlineLevel="0" collapsed="false">
      <c r="A377" s="85" t="str">
        <f aca="false">SRC_Perf!$A89&amp;""</f>
        <v/>
      </c>
      <c r="B377" s="54" t="s">
        <v>6786</v>
      </c>
      <c r="C377" s="53" t="n">
        <v>89</v>
      </c>
      <c r="D377" s="85" t="n">
        <f aca="false">SRC_Perf!$O89</f>
        <v>0</v>
      </c>
      <c r="E377" s="85" t="n">
        <f aca="false">SRC_Perf!$K89</f>
        <v>0</v>
      </c>
      <c r="F377" s="85" t="n">
        <f aca="false">SRC_Perf!$S89</f>
        <v>0</v>
      </c>
    </row>
    <row r="378" customFormat="false" ht="15" hidden="false" customHeight="false" outlineLevel="0" collapsed="false">
      <c r="A378" s="85" t="str">
        <f aca="false">SRC_Perf!$A90&amp;""</f>
        <v/>
      </c>
      <c r="B378" s="54" t="s">
        <v>6786</v>
      </c>
      <c r="C378" s="53" t="n">
        <v>90</v>
      </c>
      <c r="D378" s="85" t="n">
        <f aca="false">SRC_Perf!$O90</f>
        <v>0</v>
      </c>
      <c r="E378" s="85" t="n">
        <f aca="false">SRC_Perf!$K90</f>
        <v>0</v>
      </c>
      <c r="F378" s="85" t="n">
        <f aca="false">SRC_Perf!$S90</f>
        <v>0</v>
      </c>
    </row>
    <row r="379" customFormat="false" ht="15" hidden="false" customHeight="false" outlineLevel="0" collapsed="false">
      <c r="A379" s="85" t="str">
        <f aca="false">SRC_Perf!$A91&amp;""</f>
        <v/>
      </c>
      <c r="B379" s="54" t="s">
        <v>6786</v>
      </c>
      <c r="C379" s="53" t="n">
        <v>91</v>
      </c>
      <c r="D379" s="85" t="n">
        <f aca="false">SRC_Perf!$O91</f>
        <v>0</v>
      </c>
      <c r="E379" s="85" t="n">
        <f aca="false">SRC_Perf!$K91</f>
        <v>0</v>
      </c>
      <c r="F379" s="85" t="n">
        <f aca="false">SRC_Perf!$S91</f>
        <v>0</v>
      </c>
    </row>
    <row r="380" customFormat="false" ht="15" hidden="false" customHeight="false" outlineLevel="0" collapsed="false">
      <c r="A380" s="85" t="str">
        <f aca="false">SRC_Perf!$A92&amp;""</f>
        <v/>
      </c>
      <c r="B380" s="54" t="s">
        <v>6786</v>
      </c>
      <c r="C380" s="53" t="n">
        <v>92</v>
      </c>
      <c r="D380" s="85" t="n">
        <f aca="false">SRC_Perf!$O92</f>
        <v>0</v>
      </c>
      <c r="E380" s="85" t="n">
        <f aca="false">SRC_Perf!$K92</f>
        <v>0</v>
      </c>
      <c r="F380" s="85" t="n">
        <f aca="false">SRC_Perf!$S92</f>
        <v>0</v>
      </c>
    </row>
    <row r="381" customFormat="false" ht="15" hidden="false" customHeight="false" outlineLevel="0" collapsed="false">
      <c r="A381" s="85" t="str">
        <f aca="false">SRC_Perf!$A93&amp;""</f>
        <v/>
      </c>
      <c r="B381" s="54" t="s">
        <v>6786</v>
      </c>
      <c r="C381" s="53" t="n">
        <v>93</v>
      </c>
      <c r="D381" s="85" t="n">
        <f aca="false">SRC_Perf!$O93</f>
        <v>0</v>
      </c>
      <c r="E381" s="85" t="n">
        <f aca="false">SRC_Perf!$K93</f>
        <v>0</v>
      </c>
      <c r="F381" s="85" t="n">
        <f aca="false">SRC_Perf!$S93</f>
        <v>0</v>
      </c>
    </row>
    <row r="382" customFormat="false" ht="15" hidden="false" customHeight="false" outlineLevel="0" collapsed="false">
      <c r="A382" s="85" t="str">
        <f aca="false">SRC_Perf!$A94&amp;""</f>
        <v/>
      </c>
      <c r="B382" s="54" t="s">
        <v>6786</v>
      </c>
      <c r="C382" s="53" t="n">
        <v>94</v>
      </c>
      <c r="D382" s="85" t="n">
        <f aca="false">SRC_Perf!$O94</f>
        <v>0</v>
      </c>
      <c r="E382" s="85" t="n">
        <f aca="false">SRC_Perf!$K94</f>
        <v>0</v>
      </c>
      <c r="F382" s="85" t="n">
        <f aca="false">SRC_Perf!$S94</f>
        <v>0</v>
      </c>
    </row>
    <row r="383" customFormat="false" ht="15" hidden="false" customHeight="false" outlineLevel="0" collapsed="false">
      <c r="A383" s="85" t="str">
        <f aca="false">SRC_Perf!$A95&amp;""</f>
        <v/>
      </c>
      <c r="B383" s="54" t="s">
        <v>6786</v>
      </c>
      <c r="C383" s="53" t="n">
        <v>95</v>
      </c>
      <c r="D383" s="85" t="n">
        <f aca="false">SRC_Perf!$O95</f>
        <v>0</v>
      </c>
      <c r="E383" s="85" t="n">
        <f aca="false">SRC_Perf!$K95</f>
        <v>0</v>
      </c>
      <c r="F383" s="85" t="n">
        <f aca="false">SRC_Perf!$S95</f>
        <v>0</v>
      </c>
    </row>
    <row r="384" customFormat="false" ht="15" hidden="false" customHeight="false" outlineLevel="0" collapsed="false">
      <c r="A384" s="85" t="str">
        <f aca="false">SRC_Perf!$A96&amp;""</f>
        <v/>
      </c>
      <c r="B384" s="54" t="s">
        <v>6786</v>
      </c>
      <c r="C384" s="53" t="n">
        <v>96</v>
      </c>
      <c r="D384" s="85" t="n">
        <f aca="false">SRC_Perf!$O96</f>
        <v>0</v>
      </c>
      <c r="E384" s="85" t="n">
        <f aca="false">SRC_Perf!$K96</f>
        <v>0</v>
      </c>
      <c r="F384" s="85" t="n">
        <f aca="false">SRC_Perf!$S96</f>
        <v>0</v>
      </c>
    </row>
    <row r="385" customFormat="false" ht="15" hidden="false" customHeight="false" outlineLevel="0" collapsed="false">
      <c r="A385" s="85" t="str">
        <f aca="false">SRC_Perf!$A97&amp;""</f>
        <v/>
      </c>
      <c r="B385" s="54" t="s">
        <v>6786</v>
      </c>
      <c r="C385" s="53" t="n">
        <v>97</v>
      </c>
      <c r="D385" s="85" t="n">
        <f aca="false">SRC_Perf!$O97</f>
        <v>0</v>
      </c>
      <c r="E385" s="85" t="n">
        <f aca="false">SRC_Perf!$K97</f>
        <v>0</v>
      </c>
      <c r="F385" s="85" t="n">
        <f aca="false">SRC_Perf!$S97</f>
        <v>0</v>
      </c>
    </row>
    <row r="386" customFormat="false" ht="15" hidden="false" customHeight="false" outlineLevel="0" collapsed="false">
      <c r="A386" s="85" t="str">
        <f aca="false">SRC_Perf!$A98&amp;""</f>
        <v/>
      </c>
      <c r="B386" s="54" t="s">
        <v>6786</v>
      </c>
      <c r="C386" s="53" t="n">
        <v>98</v>
      </c>
      <c r="D386" s="85" t="n">
        <f aca="false">SRC_Perf!$O98</f>
        <v>0</v>
      </c>
      <c r="E386" s="85" t="n">
        <f aca="false">SRC_Perf!$K98</f>
        <v>0</v>
      </c>
      <c r="F386" s="85" t="n">
        <f aca="false">SRC_Perf!$S98</f>
        <v>0</v>
      </c>
    </row>
    <row r="387" customFormat="false" ht="15" hidden="false" customHeight="false" outlineLevel="0" collapsed="false">
      <c r="A387" s="85" t="str">
        <f aca="false">SRC_Perf!$A99&amp;""</f>
        <v/>
      </c>
      <c r="B387" s="54" t="s">
        <v>6786</v>
      </c>
      <c r="C387" s="53" t="n">
        <v>99</v>
      </c>
      <c r="D387" s="85" t="n">
        <f aca="false">SRC_Perf!$O99</f>
        <v>0</v>
      </c>
      <c r="E387" s="85" t="n">
        <f aca="false">SRC_Perf!$K99</f>
        <v>0</v>
      </c>
      <c r="F387" s="85" t="n">
        <f aca="false">SRC_Perf!$S99</f>
        <v>0</v>
      </c>
    </row>
    <row r="388" customFormat="false" ht="15" hidden="false" customHeight="false" outlineLevel="0" collapsed="false">
      <c r="A388" s="85" t="str">
        <f aca="false">SRC_Perf!$A100&amp;""</f>
        <v/>
      </c>
      <c r="B388" s="54" t="s">
        <v>6786</v>
      </c>
      <c r="C388" s="53" t="n">
        <v>100</v>
      </c>
      <c r="D388" s="85" t="n">
        <f aca="false">SRC_Perf!$O100</f>
        <v>0</v>
      </c>
      <c r="E388" s="85" t="n">
        <f aca="false">SRC_Perf!$K100</f>
        <v>0</v>
      </c>
      <c r="F388" s="85" t="n">
        <f aca="false">SRC_Perf!$S100</f>
        <v>0</v>
      </c>
    </row>
    <row r="389" customFormat="false" ht="15" hidden="false" customHeight="false" outlineLevel="0" collapsed="false">
      <c r="A389" s="85" t="str">
        <f aca="false">SRC_Perf!$A101&amp;""</f>
        <v/>
      </c>
      <c r="B389" s="54" t="s">
        <v>6786</v>
      </c>
      <c r="C389" s="53" t="n">
        <v>101</v>
      </c>
      <c r="D389" s="85" t="n">
        <f aca="false">SRC_Perf!$O101</f>
        <v>0</v>
      </c>
      <c r="E389" s="85" t="n">
        <f aca="false">SRC_Perf!$K101</f>
        <v>0</v>
      </c>
      <c r="F389" s="85" t="n">
        <f aca="false">SRC_Perf!$S101</f>
        <v>0</v>
      </c>
    </row>
    <row r="390" customFormat="false" ht="15" hidden="false" customHeight="false" outlineLevel="0" collapsed="false">
      <c r="A390" s="85" t="str">
        <f aca="false">SRC_Perf!$A102&amp;""</f>
        <v/>
      </c>
      <c r="B390" s="54" t="s">
        <v>6786</v>
      </c>
      <c r="C390" s="53" t="n">
        <v>102</v>
      </c>
      <c r="D390" s="85" t="n">
        <f aca="false">SRC_Perf!$O102</f>
        <v>0</v>
      </c>
      <c r="E390" s="85" t="n">
        <f aca="false">SRC_Perf!$K102</f>
        <v>0</v>
      </c>
      <c r="F390" s="85" t="n">
        <f aca="false">SRC_Perf!$S102</f>
        <v>0</v>
      </c>
    </row>
    <row r="391" customFormat="false" ht="15" hidden="false" customHeight="false" outlineLevel="0" collapsed="false">
      <c r="A391" s="85" t="str">
        <f aca="false">SRC_Perf!$A103&amp;""</f>
        <v/>
      </c>
      <c r="B391" s="54" t="s">
        <v>6786</v>
      </c>
      <c r="C391" s="53" t="n">
        <v>103</v>
      </c>
      <c r="D391" s="85" t="n">
        <f aca="false">SRC_Perf!$O103</f>
        <v>0</v>
      </c>
      <c r="E391" s="85" t="n">
        <f aca="false">SRC_Perf!$K103</f>
        <v>0</v>
      </c>
      <c r="F391" s="85" t="n">
        <f aca="false">SRC_Perf!$S103</f>
        <v>0</v>
      </c>
    </row>
    <row r="392" customFormat="false" ht="15" hidden="false" customHeight="false" outlineLevel="0" collapsed="false">
      <c r="A392" s="85" t="str">
        <f aca="false">SRC_Perf!$A104&amp;""</f>
        <v/>
      </c>
      <c r="B392" s="54" t="s">
        <v>6786</v>
      </c>
      <c r="C392" s="53" t="n">
        <v>104</v>
      </c>
      <c r="D392" s="85" t="n">
        <f aca="false">SRC_Perf!$O104</f>
        <v>0</v>
      </c>
      <c r="E392" s="85" t="n">
        <f aca="false">SRC_Perf!$K104</f>
        <v>0</v>
      </c>
      <c r="F392" s="85" t="n">
        <f aca="false">SRC_Perf!$S104</f>
        <v>0</v>
      </c>
    </row>
    <row r="393" customFormat="false" ht="15" hidden="false" customHeight="false" outlineLevel="0" collapsed="false">
      <c r="A393" s="85" t="str">
        <f aca="false">SRC_Perf!$A105&amp;""</f>
        <v/>
      </c>
      <c r="B393" s="54" t="s">
        <v>6786</v>
      </c>
      <c r="C393" s="53" t="n">
        <v>105</v>
      </c>
      <c r="D393" s="85" t="n">
        <f aca="false">SRC_Perf!$O105</f>
        <v>0</v>
      </c>
      <c r="E393" s="85" t="n">
        <f aca="false">SRC_Perf!$K105</f>
        <v>0</v>
      </c>
      <c r="F393" s="85" t="n">
        <f aca="false">SRC_Perf!$S105</f>
        <v>0</v>
      </c>
    </row>
    <row r="394" customFormat="false" ht="15" hidden="false" customHeight="false" outlineLevel="0" collapsed="false">
      <c r="A394" s="85" t="str">
        <f aca="false">SRC_Perf!$A106&amp;""</f>
        <v/>
      </c>
      <c r="B394" s="54" t="s">
        <v>6786</v>
      </c>
      <c r="C394" s="53" t="n">
        <v>106</v>
      </c>
      <c r="D394" s="85" t="n">
        <f aca="false">SRC_Perf!$O106</f>
        <v>0</v>
      </c>
      <c r="E394" s="85" t="n">
        <f aca="false">SRC_Perf!$K106</f>
        <v>0</v>
      </c>
      <c r="F394" s="85" t="n">
        <f aca="false">SRC_Perf!$S106</f>
        <v>0</v>
      </c>
    </row>
    <row r="395" customFormat="false" ht="15" hidden="false" customHeight="false" outlineLevel="0" collapsed="false">
      <c r="A395" s="85" t="str">
        <f aca="false">SRC_Perf!$A107&amp;""</f>
        <v/>
      </c>
      <c r="B395" s="54" t="s">
        <v>6786</v>
      </c>
      <c r="C395" s="53" t="n">
        <v>107</v>
      </c>
      <c r="D395" s="85" t="n">
        <f aca="false">SRC_Perf!$O107</f>
        <v>0</v>
      </c>
      <c r="E395" s="85" t="n">
        <f aca="false">SRC_Perf!$K107</f>
        <v>0</v>
      </c>
      <c r="F395" s="85" t="n">
        <f aca="false">SRC_Perf!$S107</f>
        <v>0</v>
      </c>
    </row>
    <row r="396" customFormat="false" ht="15" hidden="false" customHeight="false" outlineLevel="0" collapsed="false">
      <c r="A396" s="85" t="str">
        <f aca="false">SRC_Perf!$A108&amp;""</f>
        <v/>
      </c>
      <c r="B396" s="54" t="s">
        <v>6786</v>
      </c>
      <c r="C396" s="53" t="n">
        <v>108</v>
      </c>
      <c r="D396" s="85" t="n">
        <f aca="false">SRC_Perf!$O108</f>
        <v>0</v>
      </c>
      <c r="E396" s="85" t="n">
        <f aca="false">SRC_Perf!$K108</f>
        <v>0</v>
      </c>
      <c r="F396" s="85" t="n">
        <f aca="false">SRC_Perf!$S108</f>
        <v>0</v>
      </c>
    </row>
    <row r="397" customFormat="false" ht="15" hidden="false" customHeight="false" outlineLevel="0" collapsed="false">
      <c r="A397" s="85" t="str">
        <f aca="false">SRC_Perf!$A109&amp;""</f>
        <v/>
      </c>
      <c r="B397" s="54" t="s">
        <v>6786</v>
      </c>
      <c r="C397" s="53" t="n">
        <v>109</v>
      </c>
      <c r="D397" s="85" t="n">
        <f aca="false">SRC_Perf!$O109</f>
        <v>0</v>
      </c>
      <c r="E397" s="85" t="n">
        <f aca="false">SRC_Perf!$K109</f>
        <v>0</v>
      </c>
      <c r="F397" s="85" t="n">
        <f aca="false">SRC_Perf!$S109</f>
        <v>0</v>
      </c>
    </row>
    <row r="398" customFormat="false" ht="15" hidden="false" customHeight="false" outlineLevel="0" collapsed="false">
      <c r="A398" s="85" t="str">
        <f aca="false">SRC_Perf!$A110&amp;""</f>
        <v/>
      </c>
      <c r="B398" s="54" t="s">
        <v>6786</v>
      </c>
      <c r="C398" s="53" t="n">
        <v>110</v>
      </c>
      <c r="D398" s="85" t="n">
        <f aca="false">SRC_Perf!$O110</f>
        <v>0</v>
      </c>
      <c r="E398" s="85" t="n">
        <f aca="false">SRC_Perf!$K110</f>
        <v>0</v>
      </c>
      <c r="F398" s="85" t="n">
        <f aca="false">SRC_Perf!$S110</f>
        <v>0</v>
      </c>
    </row>
    <row r="399" customFormat="false" ht="15" hidden="false" customHeight="false" outlineLevel="0" collapsed="false">
      <c r="A399" s="85" t="str">
        <f aca="false">SRC_Perf!$A111&amp;""</f>
        <v/>
      </c>
      <c r="B399" s="54" t="s">
        <v>6786</v>
      </c>
      <c r="C399" s="53" t="n">
        <v>111</v>
      </c>
      <c r="D399" s="85" t="n">
        <f aca="false">SRC_Perf!$O111</f>
        <v>0</v>
      </c>
      <c r="E399" s="85" t="n">
        <f aca="false">SRC_Perf!$K111</f>
        <v>0</v>
      </c>
      <c r="F399" s="85" t="n">
        <f aca="false">SRC_Perf!$S111</f>
        <v>0</v>
      </c>
    </row>
    <row r="400" customFormat="false" ht="15" hidden="false" customHeight="false" outlineLevel="0" collapsed="false">
      <c r="A400" s="85" t="str">
        <f aca="false">SRC_Perf!$A112&amp;""</f>
        <v/>
      </c>
      <c r="B400" s="54" t="s">
        <v>6786</v>
      </c>
      <c r="C400" s="53" t="n">
        <v>112</v>
      </c>
      <c r="D400" s="85" t="n">
        <f aca="false">SRC_Perf!$O112</f>
        <v>0</v>
      </c>
      <c r="E400" s="85" t="n">
        <f aca="false">SRC_Perf!$K112</f>
        <v>0</v>
      </c>
      <c r="F400" s="85" t="n">
        <f aca="false">SRC_Perf!$S112</f>
        <v>0</v>
      </c>
    </row>
    <row r="401" customFormat="false" ht="15" hidden="false" customHeight="false" outlineLevel="0" collapsed="false">
      <c r="A401" s="85" t="str">
        <f aca="false">SRC_Perf!$A113&amp;""</f>
        <v/>
      </c>
      <c r="B401" s="54" t="s">
        <v>6786</v>
      </c>
      <c r="C401" s="53" t="n">
        <v>113</v>
      </c>
      <c r="D401" s="85" t="n">
        <f aca="false">SRC_Perf!$O113</f>
        <v>0</v>
      </c>
      <c r="E401" s="85" t="n">
        <f aca="false">SRC_Perf!$K113</f>
        <v>0</v>
      </c>
      <c r="F401" s="85" t="n">
        <f aca="false">SRC_Perf!$S113</f>
        <v>0</v>
      </c>
    </row>
    <row r="402" customFormat="false" ht="15" hidden="false" customHeight="false" outlineLevel="0" collapsed="false">
      <c r="A402" s="85" t="str">
        <f aca="false">SRC_Price!$A5&amp;""</f>
        <v>SRC_PRC_001</v>
      </c>
      <c r="B402" s="54" t="s">
        <v>6787</v>
      </c>
      <c r="C402" s="53" t="n">
        <v>5</v>
      </c>
      <c r="D402" s="85" t="str">
        <f aca="false">SRC_Price!$O5</f>
        <v>Active</v>
      </c>
      <c r="E402" s="85" t="n">
        <f aca="false">SRC_Price!$K5</f>
        <v>3</v>
      </c>
      <c r="F402" s="85" t="str">
        <f aca="false">SRC_Price!$S5</f>
        <v>—</v>
      </c>
    </row>
    <row r="403" customFormat="false" ht="15" hidden="false" customHeight="false" outlineLevel="0" collapsed="false">
      <c r="A403" s="85" t="str">
        <f aca="false">SRC_Price!$A6&amp;""</f>
        <v>SRC_PRC_002</v>
      </c>
      <c r="B403" s="54" t="s">
        <v>6787</v>
      </c>
      <c r="C403" s="53" t="n">
        <v>6</v>
      </c>
      <c r="D403" s="85" t="str">
        <f aca="false">SRC_Price!$O6</f>
        <v>Active</v>
      </c>
      <c r="E403" s="85" t="n">
        <f aca="false">SRC_Price!$K6</f>
        <v>2</v>
      </c>
      <c r="F403" s="85" t="str">
        <f aca="false">SRC_Price!$S6</f>
        <v>—</v>
      </c>
    </row>
    <row r="404" customFormat="false" ht="15" hidden="false" customHeight="false" outlineLevel="0" collapsed="false">
      <c r="A404" s="85" t="str">
        <f aca="false">SRC_Price!$A7&amp;""</f>
        <v>SRC_PRC_003</v>
      </c>
      <c r="B404" s="54" t="s">
        <v>6787</v>
      </c>
      <c r="C404" s="53" t="n">
        <v>7</v>
      </c>
      <c r="D404" s="85" t="str">
        <f aca="false">SRC_Price!$O7</f>
        <v>Active</v>
      </c>
      <c r="E404" s="85" t="n">
        <f aca="false">SRC_Price!$K7</f>
        <v>1</v>
      </c>
      <c r="F404" s="85" t="str">
        <f aca="false">SRC_Price!$S7</f>
        <v>—</v>
      </c>
    </row>
    <row r="405" customFormat="false" ht="15" hidden="false" customHeight="false" outlineLevel="0" collapsed="false">
      <c r="A405" s="85" t="str">
        <f aca="false">SRC_Price!$A8&amp;""</f>
        <v>SRC_PRC_004</v>
      </c>
      <c r="B405" s="54" t="s">
        <v>6787</v>
      </c>
      <c r="C405" s="53" t="n">
        <v>8</v>
      </c>
      <c r="D405" s="85" t="str">
        <f aca="false">SRC_Price!$O8</f>
        <v>Active</v>
      </c>
      <c r="E405" s="85" t="n">
        <f aca="false">SRC_Price!$K8</f>
        <v>1</v>
      </c>
      <c r="F405" s="85" t="str">
        <f aca="false">SRC_Price!$S8</f>
        <v>—</v>
      </c>
    </row>
    <row r="406" customFormat="false" ht="15" hidden="false" customHeight="false" outlineLevel="0" collapsed="false">
      <c r="A406" s="85" t="str">
        <f aca="false">SRC_Price!$A9&amp;""</f>
        <v>SRC_PRC_005</v>
      </c>
      <c r="B406" s="54" t="s">
        <v>6787</v>
      </c>
      <c r="C406" s="53" t="n">
        <v>9</v>
      </c>
      <c r="D406" s="85" t="str">
        <f aca="false">SRC_Price!$O9</f>
        <v>Active</v>
      </c>
      <c r="E406" s="85" t="n">
        <f aca="false">SRC_Price!$K9</f>
        <v>1</v>
      </c>
      <c r="F406" s="85" t="str">
        <f aca="false">SRC_Price!$S9</f>
        <v>—</v>
      </c>
    </row>
    <row r="407" customFormat="false" ht="15" hidden="false" customHeight="false" outlineLevel="0" collapsed="false">
      <c r="A407" s="85" t="str">
        <f aca="false">SRC_Price!$A10&amp;""</f>
        <v>SRC_PRC_006</v>
      </c>
      <c r="B407" s="54" t="s">
        <v>6787</v>
      </c>
      <c r="C407" s="53" t="n">
        <v>10</v>
      </c>
      <c r="D407" s="85" t="str">
        <f aca="false">SRC_Price!$O10</f>
        <v>Active</v>
      </c>
      <c r="E407" s="85" t="n">
        <f aca="false">SRC_Price!$K10</f>
        <v>1</v>
      </c>
      <c r="F407" s="85" t="str">
        <f aca="false">SRC_Price!$S10</f>
        <v>—</v>
      </c>
    </row>
    <row r="408" customFormat="false" ht="15" hidden="false" customHeight="false" outlineLevel="0" collapsed="false">
      <c r="A408" s="85" t="str">
        <f aca="false">SRC_Price!$A11&amp;""</f>
        <v>SRC_PRC_007</v>
      </c>
      <c r="B408" s="54" t="s">
        <v>6787</v>
      </c>
      <c r="C408" s="53" t="n">
        <v>11</v>
      </c>
      <c r="D408" s="85" t="str">
        <f aca="false">SRC_Price!$O11</f>
        <v>Active</v>
      </c>
      <c r="E408" s="85" t="n">
        <f aca="false">SRC_Price!$K11</f>
        <v>1</v>
      </c>
      <c r="F408" s="85" t="str">
        <f aca="false">SRC_Price!$S11</f>
        <v>—</v>
      </c>
    </row>
    <row r="409" customFormat="false" ht="15" hidden="false" customHeight="false" outlineLevel="0" collapsed="false">
      <c r="A409" s="85" t="str">
        <f aca="false">SRC_Price!$A12&amp;""</f>
        <v>SRC_PRC_008</v>
      </c>
      <c r="B409" s="54" t="s">
        <v>6787</v>
      </c>
      <c r="C409" s="53" t="n">
        <v>12</v>
      </c>
      <c r="D409" s="85" t="str">
        <f aca="false">SRC_Price!$O12</f>
        <v>Active</v>
      </c>
      <c r="E409" s="85" t="n">
        <f aca="false">SRC_Price!$K12</f>
        <v>1</v>
      </c>
      <c r="F409" s="85" t="str">
        <f aca="false">SRC_Price!$S12</f>
        <v>—</v>
      </c>
    </row>
    <row r="410" customFormat="false" ht="15" hidden="false" customHeight="false" outlineLevel="0" collapsed="false">
      <c r="A410" s="85" t="str">
        <f aca="false">SRC_Price!$A13&amp;""</f>
        <v>SRC_PRC_009</v>
      </c>
      <c r="B410" s="54" t="s">
        <v>6787</v>
      </c>
      <c r="C410" s="53" t="n">
        <v>13</v>
      </c>
      <c r="D410" s="85" t="str">
        <f aca="false">SRC_Price!$O13</f>
        <v>Active</v>
      </c>
      <c r="E410" s="85" t="n">
        <f aca="false">SRC_Price!$K13</f>
        <v>1</v>
      </c>
      <c r="F410" s="85" t="str">
        <f aca="false">SRC_Price!$S13</f>
        <v>—</v>
      </c>
    </row>
    <row r="411" customFormat="false" ht="15" hidden="false" customHeight="false" outlineLevel="0" collapsed="false">
      <c r="A411" s="85" t="str">
        <f aca="false">SRC_Price!$A14&amp;""</f>
        <v>SRC_PRC_010</v>
      </c>
      <c r="B411" s="54" t="s">
        <v>6787</v>
      </c>
      <c r="C411" s="53" t="n">
        <v>14</v>
      </c>
      <c r="D411" s="85" t="str">
        <f aca="false">SRC_Price!$O14</f>
        <v>Active</v>
      </c>
      <c r="E411" s="85" t="n">
        <f aca="false">SRC_Price!$K14</f>
        <v>1</v>
      </c>
      <c r="F411" s="85" t="str">
        <f aca="false">SRC_Price!$S14</f>
        <v>—</v>
      </c>
    </row>
    <row r="412" customFormat="false" ht="15" hidden="false" customHeight="false" outlineLevel="0" collapsed="false">
      <c r="A412" s="85" t="str">
        <f aca="false">SRC_Price!$A15&amp;""</f>
        <v>SRC_PRC_011</v>
      </c>
      <c r="B412" s="54" t="s">
        <v>6787</v>
      </c>
      <c r="C412" s="53" t="n">
        <v>15</v>
      </c>
      <c r="D412" s="85" t="str">
        <f aca="false">SRC_Price!$O15</f>
        <v>Active</v>
      </c>
      <c r="E412" s="85" t="n">
        <f aca="false">SRC_Price!$K15</f>
        <v>1</v>
      </c>
      <c r="F412" s="85" t="str">
        <f aca="false">SRC_Price!$S15</f>
        <v>—</v>
      </c>
    </row>
    <row r="413" customFormat="false" ht="15" hidden="false" customHeight="false" outlineLevel="0" collapsed="false">
      <c r="A413" s="85" t="str">
        <f aca="false">SRC_Price!$A16&amp;""</f>
        <v>SRC_PRC_012</v>
      </c>
      <c r="B413" s="54" t="s">
        <v>6787</v>
      </c>
      <c r="C413" s="53" t="n">
        <v>16</v>
      </c>
      <c r="D413" s="85" t="str">
        <f aca="false">SRC_Price!$O16</f>
        <v>Active</v>
      </c>
      <c r="E413" s="85" t="n">
        <f aca="false">SRC_Price!$K16</f>
        <v>2</v>
      </c>
      <c r="F413" s="85" t="str">
        <f aca="false">SRC_Price!$S16</f>
        <v>—</v>
      </c>
    </row>
    <row r="414" customFormat="false" ht="15" hidden="false" customHeight="false" outlineLevel="0" collapsed="false">
      <c r="A414" s="85" t="str">
        <f aca="false">SRC_Price!$A17&amp;""</f>
        <v>SRC_PRC_013</v>
      </c>
      <c r="B414" s="54" t="s">
        <v>6787</v>
      </c>
      <c r="C414" s="53" t="n">
        <v>17</v>
      </c>
      <c r="D414" s="85" t="str">
        <f aca="false">SRC_Price!$O17</f>
        <v>Active</v>
      </c>
      <c r="E414" s="85" t="n">
        <f aca="false">SRC_Price!$K17</f>
        <v>2</v>
      </c>
      <c r="F414" s="85" t="str">
        <f aca="false">SRC_Price!$S17</f>
        <v>—</v>
      </c>
    </row>
    <row r="415" customFormat="false" ht="15" hidden="false" customHeight="false" outlineLevel="0" collapsed="false">
      <c r="A415" s="85" t="str">
        <f aca="false">SRC_Price!$A18&amp;""</f>
        <v>SRC_PRC_014</v>
      </c>
      <c r="B415" s="54" t="s">
        <v>6787</v>
      </c>
      <c r="C415" s="53" t="n">
        <v>18</v>
      </c>
      <c r="D415" s="85" t="str">
        <f aca="false">SRC_Price!$O18</f>
        <v>Active</v>
      </c>
      <c r="E415" s="85" t="n">
        <f aca="false">SRC_Price!$K18</f>
        <v>2</v>
      </c>
      <c r="F415" s="85" t="str">
        <f aca="false">SRC_Price!$S18</f>
        <v>—</v>
      </c>
    </row>
    <row r="416" customFormat="false" ht="15" hidden="false" customHeight="false" outlineLevel="0" collapsed="false">
      <c r="A416" s="85" t="str">
        <f aca="false">SRC_Price!$A19&amp;""</f>
        <v>SRC_PRC_015</v>
      </c>
      <c r="B416" s="54" t="s">
        <v>6787</v>
      </c>
      <c r="C416" s="53" t="n">
        <v>19</v>
      </c>
      <c r="D416" s="85" t="str">
        <f aca="false">SRC_Price!$O19</f>
        <v>Active</v>
      </c>
      <c r="E416" s="85" t="n">
        <f aca="false">SRC_Price!$K19</f>
        <v>2</v>
      </c>
      <c r="F416" s="85" t="str">
        <f aca="false">SRC_Price!$S19</f>
        <v>—</v>
      </c>
    </row>
    <row r="417" customFormat="false" ht="15" hidden="false" customHeight="false" outlineLevel="0" collapsed="false">
      <c r="A417" s="85" t="str">
        <f aca="false">SRC_Price!$A20&amp;""</f>
        <v>SRC_PRC_016</v>
      </c>
      <c r="B417" s="54" t="s">
        <v>6787</v>
      </c>
      <c r="C417" s="53" t="n">
        <v>20</v>
      </c>
      <c r="D417" s="85" t="str">
        <f aca="false">SRC_Price!$O20</f>
        <v>Active</v>
      </c>
      <c r="E417" s="85" t="n">
        <f aca="false">SRC_Price!$K20</f>
        <v>2</v>
      </c>
      <c r="F417" s="85" t="str">
        <f aca="false">SRC_Price!$S20</f>
        <v>—</v>
      </c>
    </row>
    <row r="418" customFormat="false" ht="15" hidden="false" customHeight="false" outlineLevel="0" collapsed="false">
      <c r="A418" s="85" t="str">
        <f aca="false">SRC_Price!$A21&amp;""</f>
        <v>SRC_PRC_017</v>
      </c>
      <c r="B418" s="54" t="s">
        <v>6787</v>
      </c>
      <c r="C418" s="53" t="n">
        <v>21</v>
      </c>
      <c r="D418" s="85" t="str">
        <f aca="false">SRC_Price!$O21</f>
        <v>Active</v>
      </c>
      <c r="E418" s="85" t="n">
        <f aca="false">SRC_Price!$K21</f>
        <v>2</v>
      </c>
      <c r="F418" s="85" t="str">
        <f aca="false">SRC_Price!$S21</f>
        <v>—</v>
      </c>
    </row>
    <row r="419" customFormat="false" ht="15" hidden="false" customHeight="false" outlineLevel="0" collapsed="false">
      <c r="A419" s="85" t="str">
        <f aca="false">SRC_Price!$A22&amp;""</f>
        <v>SRC_PRC_018</v>
      </c>
      <c r="B419" s="54" t="s">
        <v>6787</v>
      </c>
      <c r="C419" s="53" t="n">
        <v>22</v>
      </c>
      <c r="D419" s="85" t="str">
        <f aca="false">SRC_Price!$O22</f>
        <v>Active</v>
      </c>
      <c r="E419" s="85" t="n">
        <f aca="false">SRC_Price!$K22</f>
        <v>2</v>
      </c>
      <c r="F419" s="85" t="str">
        <f aca="false">SRC_Price!$S22</f>
        <v>—</v>
      </c>
    </row>
    <row r="420" customFormat="false" ht="15" hidden="false" customHeight="false" outlineLevel="0" collapsed="false">
      <c r="A420" s="85" t="str">
        <f aca="false">SRC_Price!$A23&amp;""</f>
        <v>SRC_PRC_019</v>
      </c>
      <c r="B420" s="54" t="s">
        <v>6787</v>
      </c>
      <c r="C420" s="53" t="n">
        <v>23</v>
      </c>
      <c r="D420" s="85" t="str">
        <f aca="false">SRC_Price!$O23</f>
        <v>Active</v>
      </c>
      <c r="E420" s="85" t="n">
        <f aca="false">SRC_Price!$K23</f>
        <v>2</v>
      </c>
      <c r="F420" s="85" t="str">
        <f aca="false">SRC_Price!$S23</f>
        <v>—</v>
      </c>
    </row>
    <row r="421" customFormat="false" ht="15" hidden="false" customHeight="false" outlineLevel="0" collapsed="false">
      <c r="A421" s="85" t="str">
        <f aca="false">SRC_Price!$A24&amp;""</f>
        <v>SRC_PRC_020</v>
      </c>
      <c r="B421" s="54" t="s">
        <v>6787</v>
      </c>
      <c r="C421" s="53" t="n">
        <v>24</v>
      </c>
      <c r="D421" s="85" t="str">
        <f aca="false">SRC_Price!$O24</f>
        <v>Active</v>
      </c>
      <c r="E421" s="85" t="n">
        <f aca="false">SRC_Price!$K24</f>
        <v>2</v>
      </c>
      <c r="F421" s="85" t="str">
        <f aca="false">SRC_Price!$S24</f>
        <v>—</v>
      </c>
    </row>
    <row r="422" customFormat="false" ht="15" hidden="false" customHeight="false" outlineLevel="0" collapsed="false">
      <c r="A422" s="85" t="str">
        <f aca="false">SRC_Price!$A25&amp;""</f>
        <v>SRC_PRC_021</v>
      </c>
      <c r="B422" s="54" t="s">
        <v>6787</v>
      </c>
      <c r="C422" s="53" t="n">
        <v>25</v>
      </c>
      <c r="D422" s="85" t="str">
        <f aca="false">SRC_Price!$O25</f>
        <v>Active</v>
      </c>
      <c r="E422" s="85" t="n">
        <f aca="false">SRC_Price!$K25</f>
        <v>1</v>
      </c>
      <c r="F422" s="85" t="str">
        <f aca="false">SRC_Price!$S25</f>
        <v>—</v>
      </c>
    </row>
    <row r="423" customFormat="false" ht="15" hidden="false" customHeight="false" outlineLevel="0" collapsed="false">
      <c r="A423" s="85" t="str">
        <f aca="false">SRC_Price!$A26&amp;""</f>
        <v>SRC_PRC_022</v>
      </c>
      <c r="B423" s="54" t="s">
        <v>6787</v>
      </c>
      <c r="C423" s="53" t="n">
        <v>26</v>
      </c>
      <c r="D423" s="85" t="str">
        <f aca="false">SRC_Price!$O26</f>
        <v>Active</v>
      </c>
      <c r="E423" s="85" t="n">
        <f aca="false">SRC_Price!$K26</f>
        <v>1</v>
      </c>
      <c r="F423" s="85" t="str">
        <f aca="false">SRC_Price!$S26</f>
        <v>—</v>
      </c>
    </row>
    <row r="424" customFormat="false" ht="15" hidden="false" customHeight="false" outlineLevel="0" collapsed="false">
      <c r="A424" s="85" t="str">
        <f aca="false">SRC_Price!$A27&amp;""</f>
        <v>SRC_PRC_023</v>
      </c>
      <c r="B424" s="54" t="s">
        <v>6787</v>
      </c>
      <c r="C424" s="53" t="n">
        <v>27</v>
      </c>
      <c r="D424" s="85" t="str">
        <f aca="false">SRC_Price!$O27</f>
        <v>Active</v>
      </c>
      <c r="E424" s="85" t="n">
        <f aca="false">SRC_Price!$K27</f>
        <v>1</v>
      </c>
      <c r="F424" s="85" t="str">
        <f aca="false">SRC_Price!$S27</f>
        <v>—</v>
      </c>
    </row>
    <row r="425" customFormat="false" ht="15" hidden="false" customHeight="false" outlineLevel="0" collapsed="false">
      <c r="A425" s="85" t="str">
        <f aca="false">SRC_Price!$A28&amp;""</f>
        <v>SRC_PRC_024</v>
      </c>
      <c r="B425" s="54" t="s">
        <v>6787</v>
      </c>
      <c r="C425" s="53" t="n">
        <v>28</v>
      </c>
      <c r="D425" s="85" t="str">
        <f aca="false">SRC_Price!$O28</f>
        <v>Active</v>
      </c>
      <c r="E425" s="85" t="n">
        <f aca="false">SRC_Price!$K28</f>
        <v>1</v>
      </c>
      <c r="F425" s="85" t="str">
        <f aca="false">SRC_Price!$S28</f>
        <v>—</v>
      </c>
    </row>
    <row r="426" customFormat="false" ht="15" hidden="false" customHeight="false" outlineLevel="0" collapsed="false">
      <c r="A426" s="85" t="str">
        <f aca="false">SRC_Price!$A29&amp;""</f>
        <v>SRC_PRC_025</v>
      </c>
      <c r="B426" s="54" t="s">
        <v>6787</v>
      </c>
      <c r="C426" s="53" t="n">
        <v>29</v>
      </c>
      <c r="D426" s="85" t="str">
        <f aca="false">SRC_Price!$O29</f>
        <v>Active</v>
      </c>
      <c r="E426" s="85" t="n">
        <f aca="false">SRC_Price!$K29</f>
        <v>1</v>
      </c>
      <c r="F426" s="85" t="str">
        <f aca="false">SRC_Price!$S29</f>
        <v>—</v>
      </c>
    </row>
    <row r="427" customFormat="false" ht="15" hidden="false" customHeight="false" outlineLevel="0" collapsed="false">
      <c r="A427" s="85" t="str">
        <f aca="false">SRC_Price!$A30&amp;""</f>
        <v>SRC_PRC_026</v>
      </c>
      <c r="B427" s="54" t="s">
        <v>6787</v>
      </c>
      <c r="C427" s="53" t="n">
        <v>30</v>
      </c>
      <c r="D427" s="85" t="str">
        <f aca="false">SRC_Price!$O30</f>
        <v>Active</v>
      </c>
      <c r="E427" s="85" t="n">
        <f aca="false">SRC_Price!$K30</f>
        <v>1</v>
      </c>
      <c r="F427" s="85" t="str">
        <f aca="false">SRC_Price!$S30</f>
        <v>—</v>
      </c>
    </row>
    <row r="428" customFormat="false" ht="15" hidden="false" customHeight="false" outlineLevel="0" collapsed="false">
      <c r="A428" s="85" t="str">
        <f aca="false">SRC_Price!$A31&amp;""</f>
        <v>SRC_PRC_027</v>
      </c>
      <c r="B428" s="54" t="s">
        <v>6787</v>
      </c>
      <c r="C428" s="53" t="n">
        <v>31</v>
      </c>
      <c r="D428" s="85" t="str">
        <f aca="false">SRC_Price!$O31</f>
        <v>Active</v>
      </c>
      <c r="E428" s="85" t="n">
        <f aca="false">SRC_Price!$K31</f>
        <v>1</v>
      </c>
      <c r="F428" s="85" t="str">
        <f aca="false">SRC_Price!$S31</f>
        <v>—</v>
      </c>
    </row>
    <row r="429" customFormat="false" ht="15" hidden="false" customHeight="false" outlineLevel="0" collapsed="false">
      <c r="A429" s="85" t="str">
        <f aca="false">SRC_Price!$A32&amp;""</f>
        <v>SRC_PRC_028</v>
      </c>
      <c r="B429" s="54" t="s">
        <v>6787</v>
      </c>
      <c r="C429" s="53" t="n">
        <v>32</v>
      </c>
      <c r="D429" s="85" t="str">
        <f aca="false">SRC_Price!$O32</f>
        <v>Active</v>
      </c>
      <c r="E429" s="85" t="n">
        <f aca="false">SRC_Price!$K32</f>
        <v>1</v>
      </c>
      <c r="F429" s="85" t="str">
        <f aca="false">SRC_Price!$S32</f>
        <v>—</v>
      </c>
    </row>
    <row r="430" customFormat="false" ht="15" hidden="false" customHeight="false" outlineLevel="0" collapsed="false">
      <c r="A430" s="85" t="str">
        <f aca="false">SRC_Price!$A33&amp;""</f>
        <v>SRC_PRC_029</v>
      </c>
      <c r="B430" s="54" t="s">
        <v>6787</v>
      </c>
      <c r="C430" s="53" t="n">
        <v>33</v>
      </c>
      <c r="D430" s="85" t="str">
        <f aca="false">SRC_Price!$O33</f>
        <v>Active</v>
      </c>
      <c r="E430" s="85" t="n">
        <f aca="false">SRC_Price!$K33</f>
        <v>1</v>
      </c>
      <c r="F430" s="85" t="str">
        <f aca="false">SRC_Price!$S33</f>
        <v>—</v>
      </c>
    </row>
    <row r="431" customFormat="false" ht="15" hidden="false" customHeight="false" outlineLevel="0" collapsed="false">
      <c r="A431" s="85" t="str">
        <f aca="false">SRC_Price!$A34&amp;""</f>
        <v>SRC_PRC_030</v>
      </c>
      <c r="B431" s="54" t="s">
        <v>6787</v>
      </c>
      <c r="C431" s="53" t="n">
        <v>34</v>
      </c>
      <c r="D431" s="85" t="str">
        <f aca="false">SRC_Price!$O34</f>
        <v>Active</v>
      </c>
      <c r="E431" s="85" t="n">
        <f aca="false">SRC_Price!$K34</f>
        <v>1</v>
      </c>
      <c r="F431" s="85" t="str">
        <f aca="false">SRC_Price!$S34</f>
        <v>—</v>
      </c>
    </row>
    <row r="432" customFormat="false" ht="15" hidden="false" customHeight="false" outlineLevel="0" collapsed="false">
      <c r="A432" s="85" t="str">
        <f aca="false">SRC_Price!$A35&amp;""</f>
        <v>SRC_PRC_031</v>
      </c>
      <c r="B432" s="54" t="s">
        <v>6787</v>
      </c>
      <c r="C432" s="53" t="n">
        <v>35</v>
      </c>
      <c r="D432" s="85" t="str">
        <f aca="false">SRC_Price!$O35</f>
        <v>Active</v>
      </c>
      <c r="E432" s="85" t="n">
        <f aca="false">SRC_Price!$K35</f>
        <v>1</v>
      </c>
      <c r="F432" s="85" t="str">
        <f aca="false">SRC_Price!$S35</f>
        <v>—</v>
      </c>
    </row>
    <row r="433" customFormat="false" ht="15" hidden="false" customHeight="false" outlineLevel="0" collapsed="false">
      <c r="A433" s="85" t="str">
        <f aca="false">SRC_Price!$A36&amp;""</f>
        <v>SRC_PRC_032</v>
      </c>
      <c r="B433" s="54" t="s">
        <v>6787</v>
      </c>
      <c r="C433" s="53" t="n">
        <v>36</v>
      </c>
      <c r="D433" s="85" t="str">
        <f aca="false">SRC_Price!$O36</f>
        <v>Active</v>
      </c>
      <c r="E433" s="85" t="n">
        <f aca="false">SRC_Price!$K36</f>
        <v>1</v>
      </c>
      <c r="F433" s="85" t="str">
        <f aca="false">SRC_Price!$S36</f>
        <v>—</v>
      </c>
    </row>
    <row r="434" customFormat="false" ht="15" hidden="false" customHeight="false" outlineLevel="0" collapsed="false">
      <c r="A434" s="85" t="str">
        <f aca="false">SRC_Price!$A37&amp;""</f>
        <v>SRC_PRC_033</v>
      </c>
      <c r="B434" s="54" t="s">
        <v>6787</v>
      </c>
      <c r="C434" s="53" t="n">
        <v>37</v>
      </c>
      <c r="D434" s="85" t="str">
        <f aca="false">SRC_Price!$O37</f>
        <v>Active</v>
      </c>
      <c r="E434" s="85" t="n">
        <f aca="false">SRC_Price!$K37</f>
        <v>1</v>
      </c>
      <c r="F434" s="85" t="str">
        <f aca="false">SRC_Price!$S37</f>
        <v>—</v>
      </c>
    </row>
    <row r="435" customFormat="false" ht="15" hidden="false" customHeight="false" outlineLevel="0" collapsed="false">
      <c r="A435" s="85" t="str">
        <f aca="false">SRC_Price!$A38&amp;""</f>
        <v>SRC_PRC_034</v>
      </c>
      <c r="B435" s="54" t="s">
        <v>6787</v>
      </c>
      <c r="C435" s="53" t="n">
        <v>38</v>
      </c>
      <c r="D435" s="85" t="str">
        <f aca="false">SRC_Price!$O38</f>
        <v>Active</v>
      </c>
      <c r="E435" s="85" t="n">
        <f aca="false">SRC_Price!$K38</f>
        <v>1</v>
      </c>
      <c r="F435" s="85" t="str">
        <f aca="false">SRC_Price!$S38</f>
        <v>—</v>
      </c>
    </row>
    <row r="436" customFormat="false" ht="15" hidden="false" customHeight="false" outlineLevel="0" collapsed="false">
      <c r="A436" s="85" t="str">
        <f aca="false">SRC_Price!$A39&amp;""</f>
        <v>SRC_PRC_035</v>
      </c>
      <c r="B436" s="54" t="s">
        <v>6787</v>
      </c>
      <c r="C436" s="53" t="n">
        <v>39</v>
      </c>
      <c r="D436" s="85" t="str">
        <f aca="false">SRC_Price!$O39</f>
        <v>Active</v>
      </c>
      <c r="E436" s="85" t="n">
        <f aca="false">SRC_Price!$K39</f>
        <v>2</v>
      </c>
      <c r="F436" s="85" t="str">
        <f aca="false">SRC_Price!$S39</f>
        <v>—</v>
      </c>
    </row>
    <row r="437" customFormat="false" ht="15" hidden="false" customHeight="false" outlineLevel="0" collapsed="false">
      <c r="A437" s="85" t="str">
        <f aca="false">SRC_Price!$A40&amp;""</f>
        <v>SRC_PRC_036</v>
      </c>
      <c r="B437" s="54" t="s">
        <v>6787</v>
      </c>
      <c r="C437" s="53" t="n">
        <v>40</v>
      </c>
      <c r="D437" s="85" t="str">
        <f aca="false">SRC_Price!$O40</f>
        <v>Active</v>
      </c>
      <c r="E437" s="85" t="n">
        <f aca="false">SRC_Price!$K40</f>
        <v>2</v>
      </c>
      <c r="F437" s="85" t="str">
        <f aca="false">SRC_Price!$S40</f>
        <v>—</v>
      </c>
    </row>
    <row r="438" customFormat="false" ht="15" hidden="false" customHeight="false" outlineLevel="0" collapsed="false">
      <c r="A438" s="85" t="str">
        <f aca="false">SRC_Price!$A41&amp;""</f>
        <v>SRC_PRC_037</v>
      </c>
      <c r="B438" s="54" t="s">
        <v>6787</v>
      </c>
      <c r="C438" s="53" t="n">
        <v>41</v>
      </c>
      <c r="D438" s="85" t="str">
        <f aca="false">SRC_Price!$O41</f>
        <v>Active</v>
      </c>
      <c r="E438" s="85" t="n">
        <f aca="false">SRC_Price!$K41</f>
        <v>2</v>
      </c>
      <c r="F438" s="85" t="str">
        <f aca="false">SRC_Price!$S41</f>
        <v>—</v>
      </c>
    </row>
    <row r="439" customFormat="false" ht="15" hidden="false" customHeight="false" outlineLevel="0" collapsed="false">
      <c r="A439" s="85" t="str">
        <f aca="false">SRC_Price!$A42&amp;""</f>
        <v>SRC_PRC_038</v>
      </c>
      <c r="B439" s="54" t="s">
        <v>6787</v>
      </c>
      <c r="C439" s="53" t="n">
        <v>42</v>
      </c>
      <c r="D439" s="85" t="str">
        <f aca="false">SRC_Price!$O42</f>
        <v>Active</v>
      </c>
      <c r="E439" s="85" t="n">
        <f aca="false">SRC_Price!$K42</f>
        <v>2</v>
      </c>
      <c r="F439" s="85" t="str">
        <f aca="false">SRC_Price!$S42</f>
        <v>—</v>
      </c>
    </row>
    <row r="440" customFormat="false" ht="15" hidden="false" customHeight="false" outlineLevel="0" collapsed="false">
      <c r="A440" s="85" t="str">
        <f aca="false">SRC_Price!$A43&amp;""</f>
        <v>SRC_PRC_039</v>
      </c>
      <c r="B440" s="54" t="s">
        <v>6787</v>
      </c>
      <c r="C440" s="53" t="n">
        <v>43</v>
      </c>
      <c r="D440" s="85" t="str">
        <f aca="false">SRC_Price!$O43</f>
        <v>Active</v>
      </c>
      <c r="E440" s="85" t="n">
        <f aca="false">SRC_Price!$K43</f>
        <v>2</v>
      </c>
      <c r="F440" s="85" t="str">
        <f aca="false">SRC_Price!$S43</f>
        <v>—</v>
      </c>
    </row>
    <row r="441" customFormat="false" ht="15" hidden="false" customHeight="false" outlineLevel="0" collapsed="false">
      <c r="A441" s="85" t="str">
        <f aca="false">SRC_Price!$A44&amp;""</f>
        <v>SRC_PRC_040</v>
      </c>
      <c r="B441" s="54" t="s">
        <v>6787</v>
      </c>
      <c r="C441" s="53" t="n">
        <v>44</v>
      </c>
      <c r="D441" s="85" t="str">
        <f aca="false">SRC_Price!$O44</f>
        <v>Active</v>
      </c>
      <c r="E441" s="85" t="n">
        <f aca="false">SRC_Price!$K44</f>
        <v>2</v>
      </c>
      <c r="F441" s="85" t="str">
        <f aca="false">SRC_Price!$S44</f>
        <v>—</v>
      </c>
    </row>
    <row r="442" customFormat="false" ht="15" hidden="false" customHeight="false" outlineLevel="0" collapsed="false">
      <c r="A442" s="85" t="str">
        <f aca="false">SRC_Price!$A45&amp;""</f>
        <v>SRC_PRC_041</v>
      </c>
      <c r="B442" s="54" t="s">
        <v>6787</v>
      </c>
      <c r="C442" s="53" t="n">
        <v>45</v>
      </c>
      <c r="D442" s="85" t="str">
        <f aca="false">SRC_Price!$O45</f>
        <v>Alt</v>
      </c>
      <c r="E442" s="85" t="n">
        <f aca="false">SRC_Price!$K45</f>
        <v>2</v>
      </c>
      <c r="F442" s="85" t="str">
        <f aca="false">SRC_Price!$S45</f>
        <v>—</v>
      </c>
    </row>
    <row r="443" customFormat="false" ht="15" hidden="false" customHeight="false" outlineLevel="0" collapsed="false">
      <c r="A443" s="85" t="str">
        <f aca="false">SRC_Price!$A46&amp;""</f>
        <v>SRC_PRC_042</v>
      </c>
      <c r="B443" s="54" t="s">
        <v>6787</v>
      </c>
      <c r="C443" s="53" t="n">
        <v>46</v>
      </c>
      <c r="D443" s="85" t="str">
        <f aca="false">SRC_Price!$O46</f>
        <v>Alt</v>
      </c>
      <c r="E443" s="85" t="n">
        <f aca="false">SRC_Price!$K46</f>
        <v>2</v>
      </c>
      <c r="F443" s="85" t="str">
        <f aca="false">SRC_Price!$S46</f>
        <v>—</v>
      </c>
    </row>
    <row r="444" customFormat="false" ht="15" hidden="false" customHeight="false" outlineLevel="0" collapsed="false">
      <c r="A444" s="85" t="str">
        <f aca="false">SRC_Price!$A47&amp;""</f>
        <v>SRC_PRC_043</v>
      </c>
      <c r="B444" s="54" t="s">
        <v>6787</v>
      </c>
      <c r="C444" s="53" t="n">
        <v>47</v>
      </c>
      <c r="D444" s="85" t="str">
        <f aca="false">SRC_Price!$O47</f>
        <v>Active</v>
      </c>
      <c r="E444" s="85" t="n">
        <f aca="false">SRC_Price!$K47</f>
        <v>2</v>
      </c>
      <c r="F444" s="85" t="str">
        <f aca="false">SRC_Price!$S47</f>
        <v>—</v>
      </c>
    </row>
    <row r="445" customFormat="false" ht="15" hidden="false" customHeight="false" outlineLevel="0" collapsed="false">
      <c r="A445" s="85" t="str">
        <f aca="false">SRC_Price!$A48&amp;""</f>
        <v>SRC_PRC_044</v>
      </c>
      <c r="B445" s="54" t="s">
        <v>6787</v>
      </c>
      <c r="C445" s="53" t="n">
        <v>48</v>
      </c>
      <c r="D445" s="85" t="str">
        <f aca="false">SRC_Price!$O48</f>
        <v>Active</v>
      </c>
      <c r="E445" s="85" t="n">
        <f aca="false">SRC_Price!$K48</f>
        <v>2</v>
      </c>
      <c r="F445" s="85" t="str">
        <f aca="false">SRC_Price!$S48</f>
        <v>—</v>
      </c>
    </row>
    <row r="446" customFormat="false" ht="15" hidden="false" customHeight="false" outlineLevel="0" collapsed="false">
      <c r="A446" s="85" t="str">
        <f aca="false">SRC_Price!$A49&amp;""</f>
        <v/>
      </c>
      <c r="B446" s="54" t="s">
        <v>6787</v>
      </c>
      <c r="C446" s="53" t="n">
        <v>49</v>
      </c>
      <c r="D446" s="85" t="n">
        <f aca="false">SRC_Price!$O49</f>
        <v>0</v>
      </c>
      <c r="E446" s="85" t="n">
        <f aca="false">SRC_Price!$K49</f>
        <v>0</v>
      </c>
      <c r="F446" s="85" t="n">
        <f aca="false">SRC_Price!$S49</f>
        <v>0</v>
      </c>
    </row>
    <row r="447" customFormat="false" ht="15" hidden="false" customHeight="false" outlineLevel="0" collapsed="false">
      <c r="A447" s="85" t="str">
        <f aca="false">SRC_Price!$A50&amp;""</f>
        <v/>
      </c>
      <c r="B447" s="54" t="s">
        <v>6787</v>
      </c>
      <c r="C447" s="53" t="n">
        <v>50</v>
      </c>
      <c r="D447" s="85" t="n">
        <f aca="false">SRC_Price!$O50</f>
        <v>0</v>
      </c>
      <c r="E447" s="85" t="n">
        <f aca="false">SRC_Price!$K50</f>
        <v>0</v>
      </c>
      <c r="F447" s="85" t="n">
        <f aca="false">SRC_Price!$S50</f>
        <v>0</v>
      </c>
    </row>
    <row r="448" customFormat="false" ht="15" hidden="false" customHeight="false" outlineLevel="0" collapsed="false">
      <c r="A448" s="85" t="str">
        <f aca="false">SRC_Price!$A51&amp;""</f>
        <v/>
      </c>
      <c r="B448" s="54" t="s">
        <v>6787</v>
      </c>
      <c r="C448" s="53" t="n">
        <v>51</v>
      </c>
      <c r="D448" s="85" t="n">
        <f aca="false">SRC_Price!$O51</f>
        <v>0</v>
      </c>
      <c r="E448" s="85" t="n">
        <f aca="false">SRC_Price!$K51</f>
        <v>0</v>
      </c>
      <c r="F448" s="85" t="n">
        <f aca="false">SRC_Price!$S51</f>
        <v>0</v>
      </c>
    </row>
    <row r="449" customFormat="false" ht="15" hidden="false" customHeight="false" outlineLevel="0" collapsed="false">
      <c r="A449" s="85" t="str">
        <f aca="false">SRC_Price!$A52&amp;""</f>
        <v/>
      </c>
      <c r="B449" s="54" t="s">
        <v>6787</v>
      </c>
      <c r="C449" s="53" t="n">
        <v>52</v>
      </c>
      <c r="D449" s="85" t="n">
        <f aca="false">SRC_Price!$O52</f>
        <v>0</v>
      </c>
      <c r="E449" s="85" t="n">
        <f aca="false">SRC_Price!$K52</f>
        <v>0</v>
      </c>
      <c r="F449" s="85" t="n">
        <f aca="false">SRC_Price!$S52</f>
        <v>0</v>
      </c>
    </row>
    <row r="450" customFormat="false" ht="15" hidden="false" customHeight="false" outlineLevel="0" collapsed="false">
      <c r="A450" s="85" t="str">
        <f aca="false">SRC_Price!$A53&amp;""</f>
        <v/>
      </c>
      <c r="B450" s="54" t="s">
        <v>6787</v>
      </c>
      <c r="C450" s="53" t="n">
        <v>53</v>
      </c>
      <c r="D450" s="85" t="n">
        <f aca="false">SRC_Price!$O53</f>
        <v>0</v>
      </c>
      <c r="E450" s="85" t="n">
        <f aca="false">SRC_Price!$K53</f>
        <v>0</v>
      </c>
      <c r="F450" s="85" t="n">
        <f aca="false">SRC_Price!$S53</f>
        <v>0</v>
      </c>
    </row>
    <row r="451" customFormat="false" ht="15" hidden="false" customHeight="false" outlineLevel="0" collapsed="false">
      <c r="A451" s="85" t="str">
        <f aca="false">SRC_Price!$A54&amp;""</f>
        <v/>
      </c>
      <c r="B451" s="54" t="s">
        <v>6787</v>
      </c>
      <c r="C451" s="53" t="n">
        <v>54</v>
      </c>
      <c r="D451" s="85" t="n">
        <f aca="false">SRC_Price!$O54</f>
        <v>0</v>
      </c>
      <c r="E451" s="85" t="n">
        <f aca="false">SRC_Price!$K54</f>
        <v>0</v>
      </c>
      <c r="F451" s="85" t="n">
        <f aca="false">SRC_Price!$S54</f>
        <v>0</v>
      </c>
    </row>
    <row r="452" customFormat="false" ht="15" hidden="false" customHeight="false" outlineLevel="0" collapsed="false">
      <c r="A452" s="85" t="str">
        <f aca="false">SRC_Price!$A55&amp;""</f>
        <v/>
      </c>
      <c r="B452" s="54" t="s">
        <v>6787</v>
      </c>
      <c r="C452" s="53" t="n">
        <v>55</v>
      </c>
      <c r="D452" s="85" t="n">
        <f aca="false">SRC_Price!$O55</f>
        <v>0</v>
      </c>
      <c r="E452" s="85" t="n">
        <f aca="false">SRC_Price!$K55</f>
        <v>0</v>
      </c>
      <c r="F452" s="85" t="n">
        <f aca="false">SRC_Price!$S55</f>
        <v>0</v>
      </c>
    </row>
    <row r="453" customFormat="false" ht="15" hidden="false" customHeight="false" outlineLevel="0" collapsed="false">
      <c r="A453" s="85" t="str">
        <f aca="false">SRC_Price!$A56&amp;""</f>
        <v/>
      </c>
      <c r="B453" s="54" t="s">
        <v>6787</v>
      </c>
      <c r="C453" s="53" t="n">
        <v>56</v>
      </c>
      <c r="D453" s="85" t="n">
        <f aca="false">SRC_Price!$O56</f>
        <v>0</v>
      </c>
      <c r="E453" s="85" t="n">
        <f aca="false">SRC_Price!$K56</f>
        <v>0</v>
      </c>
      <c r="F453" s="85" t="n">
        <f aca="false">SRC_Price!$S56</f>
        <v>0</v>
      </c>
    </row>
    <row r="454" customFormat="false" ht="15" hidden="false" customHeight="false" outlineLevel="0" collapsed="false">
      <c r="A454" s="85" t="str">
        <f aca="false">SRC_Price!$A57&amp;""</f>
        <v/>
      </c>
      <c r="B454" s="54" t="s">
        <v>6787</v>
      </c>
      <c r="C454" s="53" t="n">
        <v>57</v>
      </c>
      <c r="D454" s="85" t="n">
        <f aca="false">SRC_Price!$O57</f>
        <v>0</v>
      </c>
      <c r="E454" s="85" t="n">
        <f aca="false">SRC_Price!$K57</f>
        <v>0</v>
      </c>
      <c r="F454" s="85" t="n">
        <f aca="false">SRC_Price!$S57</f>
        <v>0</v>
      </c>
    </row>
    <row r="455" customFormat="false" ht="15" hidden="false" customHeight="false" outlineLevel="0" collapsed="false">
      <c r="A455" s="85" t="str">
        <f aca="false">SRC_Price!$A58&amp;""</f>
        <v/>
      </c>
      <c r="B455" s="54" t="s">
        <v>6787</v>
      </c>
      <c r="C455" s="53" t="n">
        <v>58</v>
      </c>
      <c r="D455" s="85" t="n">
        <f aca="false">SRC_Price!$O58</f>
        <v>0</v>
      </c>
      <c r="E455" s="85" t="n">
        <f aca="false">SRC_Price!$K58</f>
        <v>0</v>
      </c>
      <c r="F455" s="85" t="n">
        <f aca="false">SRC_Price!$S58</f>
        <v>0</v>
      </c>
    </row>
    <row r="456" customFormat="false" ht="15" hidden="false" customHeight="false" outlineLevel="0" collapsed="false">
      <c r="A456" s="85" t="str">
        <f aca="false">SRC_Price!$A59&amp;""</f>
        <v/>
      </c>
      <c r="B456" s="54" t="s">
        <v>6787</v>
      </c>
      <c r="C456" s="53" t="n">
        <v>59</v>
      </c>
      <c r="D456" s="85" t="n">
        <f aca="false">SRC_Price!$O59</f>
        <v>0</v>
      </c>
      <c r="E456" s="85" t="n">
        <f aca="false">SRC_Price!$K59</f>
        <v>0</v>
      </c>
      <c r="F456" s="85" t="n">
        <f aca="false">SRC_Price!$S59</f>
        <v>0</v>
      </c>
    </row>
    <row r="457" customFormat="false" ht="15" hidden="false" customHeight="false" outlineLevel="0" collapsed="false">
      <c r="A457" s="85" t="str">
        <f aca="false">SRC_Price!$A60&amp;""</f>
        <v/>
      </c>
      <c r="B457" s="54" t="s">
        <v>6787</v>
      </c>
      <c r="C457" s="53" t="n">
        <v>60</v>
      </c>
      <c r="D457" s="85" t="n">
        <f aca="false">SRC_Price!$O60</f>
        <v>0</v>
      </c>
      <c r="E457" s="85" t="n">
        <f aca="false">SRC_Price!$K60</f>
        <v>0</v>
      </c>
      <c r="F457" s="85" t="n">
        <f aca="false">SRC_Price!$S60</f>
        <v>0</v>
      </c>
    </row>
    <row r="458" customFormat="false" ht="15" hidden="false" customHeight="false" outlineLevel="0" collapsed="false">
      <c r="A458" s="85" t="str">
        <f aca="false">SRC_Price!$A61&amp;""</f>
        <v/>
      </c>
      <c r="B458" s="54" t="s">
        <v>6787</v>
      </c>
      <c r="C458" s="53" t="n">
        <v>61</v>
      </c>
      <c r="D458" s="85" t="n">
        <f aca="false">SRC_Price!$O61</f>
        <v>0</v>
      </c>
      <c r="E458" s="85" t="n">
        <f aca="false">SRC_Price!$K61</f>
        <v>0</v>
      </c>
      <c r="F458" s="85" t="n">
        <f aca="false">SRC_Price!$S61</f>
        <v>0</v>
      </c>
    </row>
    <row r="459" customFormat="false" ht="15" hidden="false" customHeight="false" outlineLevel="0" collapsed="false">
      <c r="A459" s="85" t="str">
        <f aca="false">SRC_Price!$A62&amp;""</f>
        <v/>
      </c>
      <c r="B459" s="54" t="s">
        <v>6787</v>
      </c>
      <c r="C459" s="53" t="n">
        <v>62</v>
      </c>
      <c r="D459" s="85" t="n">
        <f aca="false">SRC_Price!$O62</f>
        <v>0</v>
      </c>
      <c r="E459" s="85" t="n">
        <f aca="false">SRC_Price!$K62</f>
        <v>0</v>
      </c>
      <c r="F459" s="85" t="n">
        <f aca="false">SRC_Price!$S62</f>
        <v>0</v>
      </c>
    </row>
    <row r="460" customFormat="false" ht="15" hidden="false" customHeight="false" outlineLevel="0" collapsed="false">
      <c r="A460" s="85" t="str">
        <f aca="false">SRC_Price!$A63&amp;""</f>
        <v/>
      </c>
      <c r="B460" s="54" t="s">
        <v>6787</v>
      </c>
      <c r="C460" s="53" t="n">
        <v>63</v>
      </c>
      <c r="D460" s="85" t="n">
        <f aca="false">SRC_Price!$O63</f>
        <v>0</v>
      </c>
      <c r="E460" s="85" t="n">
        <f aca="false">SRC_Price!$K63</f>
        <v>0</v>
      </c>
      <c r="F460" s="85" t="n">
        <f aca="false">SRC_Price!$S63</f>
        <v>0</v>
      </c>
    </row>
    <row r="461" customFormat="false" ht="15" hidden="false" customHeight="false" outlineLevel="0" collapsed="false">
      <c r="A461" s="85" t="str">
        <f aca="false">SRC_Price!$A64&amp;""</f>
        <v/>
      </c>
      <c r="B461" s="54" t="s">
        <v>6787</v>
      </c>
      <c r="C461" s="53" t="n">
        <v>64</v>
      </c>
      <c r="D461" s="85" t="n">
        <f aca="false">SRC_Price!$O64</f>
        <v>0</v>
      </c>
      <c r="E461" s="85" t="n">
        <f aca="false">SRC_Price!$K64</f>
        <v>0</v>
      </c>
      <c r="F461" s="85" t="n">
        <f aca="false">SRC_Price!$S64</f>
        <v>0</v>
      </c>
    </row>
    <row r="462" customFormat="false" ht="15" hidden="false" customHeight="false" outlineLevel="0" collapsed="false">
      <c r="A462" s="85" t="str">
        <f aca="false">SRC_Price!$A65&amp;""</f>
        <v/>
      </c>
      <c r="B462" s="54" t="s">
        <v>6787</v>
      </c>
      <c r="C462" s="53" t="n">
        <v>65</v>
      </c>
      <c r="D462" s="85" t="n">
        <f aca="false">SRC_Price!$O65</f>
        <v>0</v>
      </c>
      <c r="E462" s="85" t="n">
        <f aca="false">SRC_Price!$K65</f>
        <v>0</v>
      </c>
      <c r="F462" s="85" t="n">
        <f aca="false">SRC_Price!$S65</f>
        <v>0</v>
      </c>
    </row>
    <row r="463" customFormat="false" ht="15" hidden="false" customHeight="false" outlineLevel="0" collapsed="false">
      <c r="A463" s="85" t="str">
        <f aca="false">SRC_Price!$A66&amp;""</f>
        <v/>
      </c>
      <c r="B463" s="54" t="s">
        <v>6787</v>
      </c>
      <c r="C463" s="53" t="n">
        <v>66</v>
      </c>
      <c r="D463" s="85" t="n">
        <f aca="false">SRC_Price!$O66</f>
        <v>0</v>
      </c>
      <c r="E463" s="85" t="n">
        <f aca="false">SRC_Price!$K66</f>
        <v>0</v>
      </c>
      <c r="F463" s="85" t="n">
        <f aca="false">SRC_Price!$S66</f>
        <v>0</v>
      </c>
    </row>
    <row r="464" customFormat="false" ht="15" hidden="false" customHeight="false" outlineLevel="0" collapsed="false">
      <c r="A464" s="85" t="str">
        <f aca="false">SRC_Price!$A67&amp;""</f>
        <v/>
      </c>
      <c r="B464" s="54" t="s">
        <v>6787</v>
      </c>
      <c r="C464" s="53" t="n">
        <v>67</v>
      </c>
      <c r="D464" s="85" t="n">
        <f aca="false">SRC_Price!$O67</f>
        <v>0</v>
      </c>
      <c r="E464" s="85" t="n">
        <f aca="false">SRC_Price!$K67</f>
        <v>0</v>
      </c>
      <c r="F464" s="85" t="n">
        <f aca="false">SRC_Price!$S67</f>
        <v>0</v>
      </c>
    </row>
    <row r="465" customFormat="false" ht="15" hidden="false" customHeight="false" outlineLevel="0" collapsed="false">
      <c r="A465" s="85" t="str">
        <f aca="false">SRC_Price!$A68&amp;""</f>
        <v/>
      </c>
      <c r="B465" s="54" t="s">
        <v>6787</v>
      </c>
      <c r="C465" s="53" t="n">
        <v>68</v>
      </c>
      <c r="D465" s="85" t="n">
        <f aca="false">SRC_Price!$O68</f>
        <v>0</v>
      </c>
      <c r="E465" s="85" t="n">
        <f aca="false">SRC_Price!$K68</f>
        <v>0</v>
      </c>
      <c r="F465" s="85" t="n">
        <f aca="false">SRC_Price!$S68</f>
        <v>0</v>
      </c>
    </row>
    <row r="466" customFormat="false" ht="15" hidden="false" customHeight="false" outlineLevel="0" collapsed="false">
      <c r="A466" s="85" t="str">
        <f aca="false">SRC_Price!$A69&amp;""</f>
        <v/>
      </c>
      <c r="B466" s="54" t="s">
        <v>6787</v>
      </c>
      <c r="C466" s="53" t="n">
        <v>69</v>
      </c>
      <c r="D466" s="85" t="n">
        <f aca="false">SRC_Price!$O69</f>
        <v>0</v>
      </c>
      <c r="E466" s="85" t="n">
        <f aca="false">SRC_Price!$K69</f>
        <v>0</v>
      </c>
      <c r="F466" s="85" t="n">
        <f aca="false">SRC_Price!$S69</f>
        <v>0</v>
      </c>
    </row>
    <row r="467" customFormat="false" ht="15" hidden="false" customHeight="false" outlineLevel="0" collapsed="false">
      <c r="A467" s="85" t="str">
        <f aca="false">SRC_Price!$A70&amp;""</f>
        <v/>
      </c>
      <c r="B467" s="54" t="s">
        <v>6787</v>
      </c>
      <c r="C467" s="53" t="n">
        <v>70</v>
      </c>
      <c r="D467" s="85" t="n">
        <f aca="false">SRC_Price!$O70</f>
        <v>0</v>
      </c>
      <c r="E467" s="85" t="n">
        <f aca="false">SRC_Price!$K70</f>
        <v>0</v>
      </c>
      <c r="F467" s="85" t="n">
        <f aca="false">SRC_Price!$S70</f>
        <v>0</v>
      </c>
    </row>
    <row r="468" customFormat="false" ht="15" hidden="false" customHeight="false" outlineLevel="0" collapsed="false">
      <c r="A468" s="85" t="str">
        <f aca="false">SRC_Price!$A71&amp;""</f>
        <v/>
      </c>
      <c r="B468" s="54" t="s">
        <v>6787</v>
      </c>
      <c r="C468" s="53" t="n">
        <v>71</v>
      </c>
      <c r="D468" s="85" t="n">
        <f aca="false">SRC_Price!$O71</f>
        <v>0</v>
      </c>
      <c r="E468" s="85" t="n">
        <f aca="false">SRC_Price!$K71</f>
        <v>0</v>
      </c>
      <c r="F468" s="85" t="n">
        <f aca="false">SRC_Price!$S71</f>
        <v>0</v>
      </c>
    </row>
    <row r="469" customFormat="false" ht="15" hidden="false" customHeight="false" outlineLevel="0" collapsed="false">
      <c r="A469" s="85" t="str">
        <f aca="false">SRC_Price!$A72&amp;""</f>
        <v/>
      </c>
      <c r="B469" s="54" t="s">
        <v>6787</v>
      </c>
      <c r="C469" s="53" t="n">
        <v>72</v>
      </c>
      <c r="D469" s="85" t="n">
        <f aca="false">SRC_Price!$O72</f>
        <v>0</v>
      </c>
      <c r="E469" s="85" t="n">
        <f aca="false">SRC_Price!$K72</f>
        <v>0</v>
      </c>
      <c r="F469" s="85" t="n">
        <f aca="false">SRC_Price!$S72</f>
        <v>0</v>
      </c>
    </row>
    <row r="470" customFormat="false" ht="15" hidden="false" customHeight="false" outlineLevel="0" collapsed="false">
      <c r="A470" s="85" t="str">
        <f aca="false">SRC_Price!$A73&amp;""</f>
        <v/>
      </c>
      <c r="B470" s="54" t="s">
        <v>6787</v>
      </c>
      <c r="C470" s="53" t="n">
        <v>73</v>
      </c>
      <c r="D470" s="85" t="n">
        <f aca="false">SRC_Price!$O73</f>
        <v>0</v>
      </c>
      <c r="E470" s="85" t="n">
        <f aca="false">SRC_Price!$K73</f>
        <v>0</v>
      </c>
      <c r="F470" s="85" t="n">
        <f aca="false">SRC_Price!$S73</f>
        <v>0</v>
      </c>
    </row>
    <row r="471" customFormat="false" ht="15" hidden="false" customHeight="false" outlineLevel="0" collapsed="false">
      <c r="A471" s="85" t="str">
        <f aca="false">SRC_Price!$A74&amp;""</f>
        <v/>
      </c>
      <c r="B471" s="54" t="s">
        <v>6787</v>
      </c>
      <c r="C471" s="53" t="n">
        <v>74</v>
      </c>
      <c r="D471" s="85" t="n">
        <f aca="false">SRC_Price!$O74</f>
        <v>0</v>
      </c>
      <c r="E471" s="85" t="n">
        <f aca="false">SRC_Price!$K74</f>
        <v>0</v>
      </c>
      <c r="F471" s="85" t="n">
        <f aca="false">SRC_Price!$S74</f>
        <v>0</v>
      </c>
    </row>
    <row r="472" customFormat="false" ht="15" hidden="false" customHeight="false" outlineLevel="0" collapsed="false">
      <c r="A472" s="85" t="str">
        <f aca="false">SRC_Price!$A75&amp;""</f>
        <v/>
      </c>
      <c r="B472" s="54" t="s">
        <v>6787</v>
      </c>
      <c r="C472" s="53" t="n">
        <v>75</v>
      </c>
      <c r="D472" s="85" t="n">
        <f aca="false">SRC_Price!$O75</f>
        <v>0</v>
      </c>
      <c r="E472" s="85" t="n">
        <f aca="false">SRC_Price!$K75</f>
        <v>0</v>
      </c>
      <c r="F472" s="85" t="n">
        <f aca="false">SRC_Price!$S75</f>
        <v>0</v>
      </c>
    </row>
    <row r="473" customFormat="false" ht="15" hidden="false" customHeight="false" outlineLevel="0" collapsed="false">
      <c r="A473" s="85" t="str">
        <f aca="false">SRC_Price!$A76&amp;""</f>
        <v/>
      </c>
      <c r="B473" s="54" t="s">
        <v>6787</v>
      </c>
      <c r="C473" s="53" t="n">
        <v>76</v>
      </c>
      <c r="D473" s="85" t="n">
        <f aca="false">SRC_Price!$O76</f>
        <v>0</v>
      </c>
      <c r="E473" s="85" t="n">
        <f aca="false">SRC_Price!$K76</f>
        <v>0</v>
      </c>
      <c r="F473" s="85" t="n">
        <f aca="false">SRC_Price!$S76</f>
        <v>0</v>
      </c>
    </row>
    <row r="474" customFormat="false" ht="15" hidden="false" customHeight="false" outlineLevel="0" collapsed="false">
      <c r="A474" s="85" t="str">
        <f aca="false">SRC_Price!$A77&amp;""</f>
        <v/>
      </c>
      <c r="B474" s="54" t="s">
        <v>6787</v>
      </c>
      <c r="C474" s="53" t="n">
        <v>77</v>
      </c>
      <c r="D474" s="85" t="n">
        <f aca="false">SRC_Price!$O77</f>
        <v>0</v>
      </c>
      <c r="E474" s="85" t="n">
        <f aca="false">SRC_Price!$K77</f>
        <v>0</v>
      </c>
      <c r="F474" s="85" t="n">
        <f aca="false">SRC_Price!$S77</f>
        <v>0</v>
      </c>
    </row>
    <row r="475" customFormat="false" ht="15" hidden="false" customHeight="false" outlineLevel="0" collapsed="false">
      <c r="A475" s="85" t="str">
        <f aca="false">SRC_Price!$A78&amp;""</f>
        <v/>
      </c>
      <c r="B475" s="54" t="s">
        <v>6787</v>
      </c>
      <c r="C475" s="53" t="n">
        <v>78</v>
      </c>
      <c r="D475" s="85" t="n">
        <f aca="false">SRC_Price!$O78</f>
        <v>0</v>
      </c>
      <c r="E475" s="85" t="n">
        <f aca="false">SRC_Price!$K78</f>
        <v>0</v>
      </c>
      <c r="F475" s="85" t="n">
        <f aca="false">SRC_Price!$S78</f>
        <v>0</v>
      </c>
    </row>
    <row r="476" customFormat="false" ht="15" hidden="false" customHeight="false" outlineLevel="0" collapsed="false">
      <c r="A476" s="85" t="str">
        <f aca="false">SRC_Price!$A79&amp;""</f>
        <v/>
      </c>
      <c r="B476" s="54" t="s">
        <v>6787</v>
      </c>
      <c r="C476" s="53" t="n">
        <v>79</v>
      </c>
      <c r="D476" s="85" t="n">
        <f aca="false">SRC_Price!$O79</f>
        <v>0</v>
      </c>
      <c r="E476" s="85" t="n">
        <f aca="false">SRC_Price!$K79</f>
        <v>0</v>
      </c>
      <c r="F476" s="85" t="n">
        <f aca="false">SRC_Price!$S79</f>
        <v>0</v>
      </c>
    </row>
    <row r="477" customFormat="false" ht="15" hidden="false" customHeight="false" outlineLevel="0" collapsed="false">
      <c r="A477" s="85" t="str">
        <f aca="false">SRC_Price!$A80&amp;""</f>
        <v/>
      </c>
      <c r="B477" s="54" t="s">
        <v>6787</v>
      </c>
      <c r="C477" s="53" t="n">
        <v>80</v>
      </c>
      <c r="D477" s="85" t="n">
        <f aca="false">SRC_Price!$O80</f>
        <v>0</v>
      </c>
      <c r="E477" s="85" t="n">
        <f aca="false">SRC_Price!$K80</f>
        <v>0</v>
      </c>
      <c r="F477" s="85" t="n">
        <f aca="false">SRC_Price!$S80</f>
        <v>0</v>
      </c>
    </row>
    <row r="478" customFormat="false" ht="15" hidden="false" customHeight="false" outlineLevel="0" collapsed="false">
      <c r="A478" s="85" t="str">
        <f aca="false">SRC_Price!$A81&amp;""</f>
        <v/>
      </c>
      <c r="B478" s="54" t="s">
        <v>6787</v>
      </c>
      <c r="C478" s="53" t="n">
        <v>81</v>
      </c>
      <c r="D478" s="85" t="n">
        <f aca="false">SRC_Price!$O81</f>
        <v>0</v>
      </c>
      <c r="E478" s="85" t="n">
        <f aca="false">SRC_Price!$K81</f>
        <v>0</v>
      </c>
      <c r="F478" s="85" t="n">
        <f aca="false">SRC_Price!$S81</f>
        <v>0</v>
      </c>
    </row>
    <row r="479" customFormat="false" ht="15" hidden="false" customHeight="false" outlineLevel="0" collapsed="false">
      <c r="A479" s="85" t="str">
        <f aca="false">SRC_Price!$A82&amp;""</f>
        <v/>
      </c>
      <c r="B479" s="54" t="s">
        <v>6787</v>
      </c>
      <c r="C479" s="53" t="n">
        <v>82</v>
      </c>
      <c r="D479" s="85" t="n">
        <f aca="false">SRC_Price!$O82</f>
        <v>0</v>
      </c>
      <c r="E479" s="85" t="n">
        <f aca="false">SRC_Price!$K82</f>
        <v>0</v>
      </c>
      <c r="F479" s="85" t="n">
        <f aca="false">SRC_Price!$S82</f>
        <v>0</v>
      </c>
    </row>
    <row r="480" customFormat="false" ht="15" hidden="false" customHeight="false" outlineLevel="0" collapsed="false">
      <c r="A480" s="85" t="str">
        <f aca="false">SRC_Price!$A83&amp;""</f>
        <v/>
      </c>
      <c r="B480" s="54" t="s">
        <v>6787</v>
      </c>
      <c r="C480" s="53" t="n">
        <v>83</v>
      </c>
      <c r="D480" s="85" t="n">
        <f aca="false">SRC_Price!$O83</f>
        <v>0</v>
      </c>
      <c r="E480" s="85" t="n">
        <f aca="false">SRC_Price!$K83</f>
        <v>0</v>
      </c>
      <c r="F480" s="85" t="n">
        <f aca="false">SRC_Price!$S83</f>
        <v>0</v>
      </c>
    </row>
    <row r="481" customFormat="false" ht="15" hidden="false" customHeight="false" outlineLevel="0" collapsed="false">
      <c r="A481" s="85" t="str">
        <f aca="false">SRC_Price!$A84&amp;""</f>
        <v/>
      </c>
      <c r="B481" s="54" t="s">
        <v>6787</v>
      </c>
      <c r="C481" s="53" t="n">
        <v>84</v>
      </c>
      <c r="D481" s="85" t="n">
        <f aca="false">SRC_Price!$O84</f>
        <v>0</v>
      </c>
      <c r="E481" s="85" t="n">
        <f aca="false">SRC_Price!$K84</f>
        <v>0</v>
      </c>
      <c r="F481" s="85" t="n">
        <f aca="false">SRC_Price!$S84</f>
        <v>0</v>
      </c>
    </row>
    <row r="482" customFormat="false" ht="15" hidden="false" customHeight="false" outlineLevel="0" collapsed="false">
      <c r="A482" s="85" t="str">
        <f aca="false">SRC_Price!$A85&amp;""</f>
        <v/>
      </c>
      <c r="B482" s="54" t="s">
        <v>6787</v>
      </c>
      <c r="C482" s="53" t="n">
        <v>85</v>
      </c>
      <c r="D482" s="85" t="n">
        <f aca="false">SRC_Price!$O85</f>
        <v>0</v>
      </c>
      <c r="E482" s="85" t="n">
        <f aca="false">SRC_Price!$K85</f>
        <v>0</v>
      </c>
      <c r="F482" s="85" t="n">
        <f aca="false">SRC_Price!$S85</f>
        <v>0</v>
      </c>
    </row>
    <row r="483" customFormat="false" ht="15" hidden="false" customHeight="false" outlineLevel="0" collapsed="false">
      <c r="A483" s="85" t="str">
        <f aca="false">SRC_Price!$A86&amp;""</f>
        <v/>
      </c>
      <c r="B483" s="54" t="s">
        <v>6787</v>
      </c>
      <c r="C483" s="53" t="n">
        <v>86</v>
      </c>
      <c r="D483" s="85" t="n">
        <f aca="false">SRC_Price!$O86</f>
        <v>0</v>
      </c>
      <c r="E483" s="85" t="n">
        <f aca="false">SRC_Price!$K86</f>
        <v>0</v>
      </c>
      <c r="F483" s="85" t="n">
        <f aca="false">SRC_Price!$S86</f>
        <v>0</v>
      </c>
    </row>
    <row r="484" customFormat="false" ht="15" hidden="false" customHeight="false" outlineLevel="0" collapsed="false">
      <c r="A484" s="85" t="str">
        <f aca="false">SRC_Price!$A87&amp;""</f>
        <v/>
      </c>
      <c r="B484" s="54" t="s">
        <v>6787</v>
      </c>
      <c r="C484" s="53" t="n">
        <v>87</v>
      </c>
      <c r="D484" s="85" t="n">
        <f aca="false">SRC_Price!$O87</f>
        <v>0</v>
      </c>
      <c r="E484" s="85" t="n">
        <f aca="false">SRC_Price!$K87</f>
        <v>0</v>
      </c>
      <c r="F484" s="85" t="n">
        <f aca="false">SRC_Price!$S87</f>
        <v>0</v>
      </c>
    </row>
    <row r="485" customFormat="false" ht="15" hidden="false" customHeight="false" outlineLevel="0" collapsed="false">
      <c r="A485" s="85" t="str">
        <f aca="false">SRC_Price!$A88&amp;""</f>
        <v/>
      </c>
      <c r="B485" s="54" t="s">
        <v>6787</v>
      </c>
      <c r="C485" s="53" t="n">
        <v>88</v>
      </c>
      <c r="D485" s="85" t="n">
        <f aca="false">SRC_Price!$O88</f>
        <v>0</v>
      </c>
      <c r="E485" s="85" t="n">
        <f aca="false">SRC_Price!$K88</f>
        <v>0</v>
      </c>
      <c r="F485" s="85" t="n">
        <f aca="false">SRC_Price!$S88</f>
        <v>0</v>
      </c>
    </row>
    <row r="486" customFormat="false" ht="15" hidden="false" customHeight="false" outlineLevel="0" collapsed="false">
      <c r="A486" s="85" t="str">
        <f aca="false">SRC_Price!$A89&amp;""</f>
        <v/>
      </c>
      <c r="B486" s="54" t="s">
        <v>6787</v>
      </c>
      <c r="C486" s="53" t="n">
        <v>89</v>
      </c>
      <c r="D486" s="85" t="n">
        <f aca="false">SRC_Price!$O89</f>
        <v>0</v>
      </c>
      <c r="E486" s="85" t="n">
        <f aca="false">SRC_Price!$K89</f>
        <v>0</v>
      </c>
      <c r="F486" s="85" t="n">
        <f aca="false">SRC_Price!$S89</f>
        <v>0</v>
      </c>
    </row>
    <row r="487" customFormat="false" ht="15" hidden="false" customHeight="false" outlineLevel="0" collapsed="false">
      <c r="A487" s="85" t="str">
        <f aca="false">SRC_Price!$A90&amp;""</f>
        <v/>
      </c>
      <c r="B487" s="54" t="s">
        <v>6787</v>
      </c>
      <c r="C487" s="53" t="n">
        <v>90</v>
      </c>
      <c r="D487" s="85" t="n">
        <f aca="false">SRC_Price!$O90</f>
        <v>0</v>
      </c>
      <c r="E487" s="85" t="n">
        <f aca="false">SRC_Price!$K90</f>
        <v>0</v>
      </c>
      <c r="F487" s="85" t="n">
        <f aca="false">SRC_Price!$S90</f>
        <v>0</v>
      </c>
    </row>
    <row r="488" customFormat="false" ht="15" hidden="false" customHeight="false" outlineLevel="0" collapsed="false">
      <c r="A488" s="85" t="str">
        <f aca="false">SRC_Price!$A91&amp;""</f>
        <v/>
      </c>
      <c r="B488" s="54" t="s">
        <v>6787</v>
      </c>
      <c r="C488" s="53" t="n">
        <v>91</v>
      </c>
      <c r="D488" s="85" t="n">
        <f aca="false">SRC_Price!$O91</f>
        <v>0</v>
      </c>
      <c r="E488" s="85" t="n">
        <f aca="false">SRC_Price!$K91</f>
        <v>0</v>
      </c>
      <c r="F488" s="85" t="n">
        <f aca="false">SRC_Price!$S91</f>
        <v>0</v>
      </c>
    </row>
    <row r="489" customFormat="false" ht="15" hidden="false" customHeight="false" outlineLevel="0" collapsed="false">
      <c r="A489" s="85" t="str">
        <f aca="false">SRC_Price!$A92&amp;""</f>
        <v/>
      </c>
      <c r="B489" s="54" t="s">
        <v>6787</v>
      </c>
      <c r="C489" s="53" t="n">
        <v>92</v>
      </c>
      <c r="D489" s="85" t="n">
        <f aca="false">SRC_Price!$O92</f>
        <v>0</v>
      </c>
      <c r="E489" s="85" t="n">
        <f aca="false">SRC_Price!$K92</f>
        <v>0</v>
      </c>
      <c r="F489" s="85" t="n">
        <f aca="false">SRC_Price!$S92</f>
        <v>0</v>
      </c>
    </row>
    <row r="490" customFormat="false" ht="15" hidden="false" customHeight="false" outlineLevel="0" collapsed="false">
      <c r="A490" s="85" t="str">
        <f aca="false">SRC_Price!$A93&amp;""</f>
        <v/>
      </c>
      <c r="B490" s="54" t="s">
        <v>6787</v>
      </c>
      <c r="C490" s="53" t="n">
        <v>93</v>
      </c>
      <c r="D490" s="85" t="n">
        <f aca="false">SRC_Price!$O93</f>
        <v>0</v>
      </c>
      <c r="E490" s="85" t="n">
        <f aca="false">SRC_Price!$K93</f>
        <v>0</v>
      </c>
      <c r="F490" s="85" t="n">
        <f aca="false">SRC_Price!$S93</f>
        <v>0</v>
      </c>
    </row>
    <row r="491" customFormat="false" ht="15" hidden="false" customHeight="false" outlineLevel="0" collapsed="false">
      <c r="A491" s="85" t="str">
        <f aca="false">SRC_Price!$A94&amp;""</f>
        <v/>
      </c>
      <c r="B491" s="54" t="s">
        <v>6787</v>
      </c>
      <c r="C491" s="53" t="n">
        <v>94</v>
      </c>
      <c r="D491" s="85" t="n">
        <f aca="false">SRC_Price!$O94</f>
        <v>0</v>
      </c>
      <c r="E491" s="85" t="n">
        <f aca="false">SRC_Price!$K94</f>
        <v>0</v>
      </c>
      <c r="F491" s="85" t="n">
        <f aca="false">SRC_Price!$S94</f>
        <v>0</v>
      </c>
    </row>
    <row r="492" customFormat="false" ht="15" hidden="false" customHeight="false" outlineLevel="0" collapsed="false">
      <c r="A492" s="85" t="str">
        <f aca="false">SRC_Price!$A95&amp;""</f>
        <v/>
      </c>
      <c r="B492" s="54" t="s">
        <v>6787</v>
      </c>
      <c r="C492" s="53" t="n">
        <v>95</v>
      </c>
      <c r="D492" s="85" t="n">
        <f aca="false">SRC_Price!$O95</f>
        <v>0</v>
      </c>
      <c r="E492" s="85" t="n">
        <f aca="false">SRC_Price!$K95</f>
        <v>0</v>
      </c>
      <c r="F492" s="85" t="n">
        <f aca="false">SRC_Price!$S95</f>
        <v>0</v>
      </c>
    </row>
    <row r="493" customFormat="false" ht="15" hidden="false" customHeight="false" outlineLevel="0" collapsed="false">
      <c r="A493" s="85" t="str">
        <f aca="false">SRC_Price!$A96&amp;""</f>
        <v/>
      </c>
      <c r="B493" s="54" t="s">
        <v>6787</v>
      </c>
      <c r="C493" s="53" t="n">
        <v>96</v>
      </c>
      <c r="D493" s="85" t="n">
        <f aca="false">SRC_Price!$O96</f>
        <v>0</v>
      </c>
      <c r="E493" s="85" t="n">
        <f aca="false">SRC_Price!$K96</f>
        <v>0</v>
      </c>
      <c r="F493" s="85" t="n">
        <f aca="false">SRC_Price!$S96</f>
        <v>0</v>
      </c>
    </row>
    <row r="494" customFormat="false" ht="15" hidden="false" customHeight="false" outlineLevel="0" collapsed="false">
      <c r="A494" s="85" t="str">
        <f aca="false">SRC_Price!$A97&amp;""</f>
        <v/>
      </c>
      <c r="B494" s="54" t="s">
        <v>6787</v>
      </c>
      <c r="C494" s="53" t="n">
        <v>97</v>
      </c>
      <c r="D494" s="85" t="n">
        <f aca="false">SRC_Price!$O97</f>
        <v>0</v>
      </c>
      <c r="E494" s="85" t="n">
        <f aca="false">SRC_Price!$K97</f>
        <v>0</v>
      </c>
      <c r="F494" s="85" t="n">
        <f aca="false">SRC_Price!$S97</f>
        <v>0</v>
      </c>
    </row>
    <row r="495" customFormat="false" ht="15" hidden="false" customHeight="false" outlineLevel="0" collapsed="false">
      <c r="A495" s="85" t="str">
        <f aca="false">SRC_Price!$A98&amp;""</f>
        <v/>
      </c>
      <c r="B495" s="54" t="s">
        <v>6787</v>
      </c>
      <c r="C495" s="53" t="n">
        <v>98</v>
      </c>
      <c r="D495" s="85" t="n">
        <f aca="false">SRC_Price!$O98</f>
        <v>0</v>
      </c>
      <c r="E495" s="85" t="n">
        <f aca="false">SRC_Price!$K98</f>
        <v>0</v>
      </c>
      <c r="F495" s="85" t="n">
        <f aca="false">SRC_Price!$S98</f>
        <v>0</v>
      </c>
    </row>
    <row r="496" customFormat="false" ht="15" hidden="false" customHeight="false" outlineLevel="0" collapsed="false">
      <c r="A496" s="85" t="str">
        <f aca="false">SRC_Cap!$A5&amp;""</f>
        <v>SRC_CAP_001</v>
      </c>
      <c r="B496" s="54" t="s">
        <v>6788</v>
      </c>
      <c r="C496" s="53" t="n">
        <v>5</v>
      </c>
      <c r="D496" s="85" t="str">
        <f aca="false">SRC_Cap!$O5</f>
        <v>Active</v>
      </c>
      <c r="E496" s="85" t="n">
        <f aca="false">SRC_Cap!$K5</f>
        <v>2</v>
      </c>
      <c r="F496" s="85" t="str">
        <f aca="false">SRC_Cap!$S5</f>
        <v>—</v>
      </c>
    </row>
    <row r="497" customFormat="false" ht="15" hidden="false" customHeight="false" outlineLevel="0" collapsed="false">
      <c r="A497" s="85" t="str">
        <f aca="false">SRC_Cap!$A6&amp;""</f>
        <v>SRC_CAP_002</v>
      </c>
      <c r="B497" s="54" t="s">
        <v>6788</v>
      </c>
      <c r="C497" s="53" t="n">
        <v>6</v>
      </c>
      <c r="D497" s="85" t="str">
        <f aca="false">SRC_Cap!$O6</f>
        <v>Active</v>
      </c>
      <c r="E497" s="85" t="n">
        <f aca="false">SRC_Cap!$K6</f>
        <v>2</v>
      </c>
      <c r="F497" s="85" t="str">
        <f aca="false">SRC_Cap!$S6</f>
        <v>—</v>
      </c>
    </row>
    <row r="498" customFormat="false" ht="15" hidden="false" customHeight="false" outlineLevel="0" collapsed="false">
      <c r="A498" s="85" t="str">
        <f aca="false">SRC_Cap!$A7&amp;""</f>
        <v>SRC_CAP_003</v>
      </c>
      <c r="B498" s="54" t="s">
        <v>6788</v>
      </c>
      <c r="C498" s="53" t="n">
        <v>7</v>
      </c>
      <c r="D498" s="85" t="str">
        <f aca="false">SRC_Cap!$O7</f>
        <v>Active</v>
      </c>
      <c r="E498" s="85" t="n">
        <f aca="false">SRC_Cap!$K7</f>
        <v>2</v>
      </c>
      <c r="F498" s="85" t="str">
        <f aca="false">SRC_Cap!$S7</f>
        <v>—</v>
      </c>
    </row>
    <row r="499" customFormat="false" ht="15" hidden="false" customHeight="false" outlineLevel="0" collapsed="false">
      <c r="A499" s="85" t="str">
        <f aca="false">SRC_Cap!$A8&amp;""</f>
        <v>SRC_CAP_004</v>
      </c>
      <c r="B499" s="54" t="s">
        <v>6788</v>
      </c>
      <c r="C499" s="53" t="n">
        <v>8</v>
      </c>
      <c r="D499" s="85" t="str">
        <f aca="false">SRC_Cap!$O8</f>
        <v>Active</v>
      </c>
      <c r="E499" s="85" t="n">
        <f aca="false">SRC_Cap!$K8</f>
        <v>2</v>
      </c>
      <c r="F499" s="85" t="str">
        <f aca="false">SRC_Cap!$S8</f>
        <v>—</v>
      </c>
    </row>
    <row r="500" customFormat="false" ht="15" hidden="false" customHeight="false" outlineLevel="0" collapsed="false">
      <c r="A500" s="85" t="str">
        <f aca="false">SRC_Cap!$A9&amp;""</f>
        <v>SRC_CAP_005</v>
      </c>
      <c r="B500" s="54" t="s">
        <v>6788</v>
      </c>
      <c r="C500" s="53" t="n">
        <v>9</v>
      </c>
      <c r="D500" s="85" t="str">
        <f aca="false">SRC_Cap!$O9</f>
        <v>Active</v>
      </c>
      <c r="E500" s="85" t="n">
        <f aca="false">SRC_Cap!$K9</f>
        <v>2</v>
      </c>
      <c r="F500" s="85" t="str">
        <f aca="false">SRC_Cap!$S9</f>
        <v>—</v>
      </c>
    </row>
    <row r="501" customFormat="false" ht="15" hidden="false" customHeight="false" outlineLevel="0" collapsed="false">
      <c r="A501" s="85" t="str">
        <f aca="false">SRC_Cap!$A10&amp;""</f>
        <v>SRC_CAP_006</v>
      </c>
      <c r="B501" s="54" t="s">
        <v>6788</v>
      </c>
      <c r="C501" s="53" t="n">
        <v>10</v>
      </c>
      <c r="D501" s="85" t="str">
        <f aca="false">SRC_Cap!$O10</f>
        <v>Active</v>
      </c>
      <c r="E501" s="85" t="n">
        <f aca="false">SRC_Cap!$K10</f>
        <v>2</v>
      </c>
      <c r="F501" s="85" t="str">
        <f aca="false">SRC_Cap!$S10</f>
        <v>—</v>
      </c>
    </row>
    <row r="502" customFormat="false" ht="15" hidden="false" customHeight="false" outlineLevel="0" collapsed="false">
      <c r="A502" s="85" t="str">
        <f aca="false">SRC_Cap!$A11&amp;""</f>
        <v>SRC_CAP_007</v>
      </c>
      <c r="B502" s="54" t="s">
        <v>6788</v>
      </c>
      <c r="C502" s="53" t="n">
        <v>11</v>
      </c>
      <c r="D502" s="85" t="str">
        <f aca="false">SRC_Cap!$O11</f>
        <v>Active</v>
      </c>
      <c r="E502" s="85" t="n">
        <f aca="false">SRC_Cap!$K11</f>
        <v>2</v>
      </c>
      <c r="F502" s="85" t="str">
        <f aca="false">SRC_Cap!$S11</f>
        <v>—</v>
      </c>
    </row>
    <row r="503" customFormat="false" ht="15" hidden="false" customHeight="false" outlineLevel="0" collapsed="false">
      <c r="A503" s="85" t="str">
        <f aca="false">SRC_Cap!$A12&amp;""</f>
        <v>SRC_CAP_008</v>
      </c>
      <c r="B503" s="54" t="s">
        <v>6788</v>
      </c>
      <c r="C503" s="53" t="n">
        <v>12</v>
      </c>
      <c r="D503" s="85" t="str">
        <f aca="false">SRC_Cap!$O12</f>
        <v>Active</v>
      </c>
      <c r="E503" s="85" t="n">
        <f aca="false">SRC_Cap!$K12</f>
        <v>1</v>
      </c>
      <c r="F503" s="85" t="str">
        <f aca="false">SRC_Cap!$S12</f>
        <v>2026-10-05</v>
      </c>
    </row>
    <row r="504" customFormat="false" ht="15" hidden="false" customHeight="false" outlineLevel="0" collapsed="false">
      <c r="A504" s="85" t="str">
        <f aca="false">SRC_Cap!$A13&amp;""</f>
        <v>SRC_CAP_009</v>
      </c>
      <c r="B504" s="54" t="s">
        <v>6788</v>
      </c>
      <c r="C504" s="53" t="n">
        <v>13</v>
      </c>
      <c r="D504" s="85" t="str">
        <f aca="false">SRC_Cap!$O13</f>
        <v>Active</v>
      </c>
      <c r="E504" s="85" t="n">
        <f aca="false">SRC_Cap!$K13</f>
        <v>3</v>
      </c>
      <c r="F504" s="85" t="str">
        <f aca="false">SRC_Cap!$S13</f>
        <v>—</v>
      </c>
    </row>
    <row r="505" customFormat="false" ht="15" hidden="false" customHeight="false" outlineLevel="0" collapsed="false">
      <c r="A505" s="85" t="str">
        <f aca="false">SRC_Cap!$A14&amp;""</f>
        <v>SRC_CAP_010</v>
      </c>
      <c r="B505" s="54" t="s">
        <v>6788</v>
      </c>
      <c r="C505" s="53" t="n">
        <v>14</v>
      </c>
      <c r="D505" s="85" t="str">
        <f aca="false">SRC_Cap!$O14</f>
        <v>Active</v>
      </c>
      <c r="E505" s="85" t="n">
        <f aca="false">SRC_Cap!$K14</f>
        <v>3</v>
      </c>
      <c r="F505" s="85" t="str">
        <f aca="false">SRC_Cap!$S14</f>
        <v>—</v>
      </c>
    </row>
    <row r="506" customFormat="false" ht="15" hidden="false" customHeight="false" outlineLevel="0" collapsed="false">
      <c r="A506" s="85" t="str">
        <f aca="false">SRC_Cap!$A15&amp;""</f>
        <v>SRC_CAP_011</v>
      </c>
      <c r="B506" s="54" t="s">
        <v>6788</v>
      </c>
      <c r="C506" s="53" t="n">
        <v>15</v>
      </c>
      <c r="D506" s="85" t="str">
        <f aca="false">SRC_Cap!$O15</f>
        <v>Active</v>
      </c>
      <c r="E506" s="85" t="n">
        <f aca="false">SRC_Cap!$K15</f>
        <v>1</v>
      </c>
      <c r="F506" s="85" t="str">
        <f aca="false">SRC_Cap!$S15</f>
        <v>2026-10-05</v>
      </c>
    </row>
    <row r="507" customFormat="false" ht="15" hidden="false" customHeight="false" outlineLevel="0" collapsed="false">
      <c r="A507" s="85" t="str">
        <f aca="false">SRC_Cap!$A16&amp;""</f>
        <v>SRC_CAP_012</v>
      </c>
      <c r="B507" s="54" t="s">
        <v>6788</v>
      </c>
      <c r="C507" s="53" t="n">
        <v>16</v>
      </c>
      <c r="D507" s="85" t="str">
        <f aca="false">SRC_Cap!$O16</f>
        <v>Active</v>
      </c>
      <c r="E507" s="85" t="n">
        <f aca="false">SRC_Cap!$K16</f>
        <v>2</v>
      </c>
      <c r="F507" s="85" t="str">
        <f aca="false">SRC_Cap!$S16</f>
        <v>—</v>
      </c>
    </row>
    <row r="508" customFormat="false" ht="15" hidden="false" customHeight="false" outlineLevel="0" collapsed="false">
      <c r="A508" s="85" t="str">
        <f aca="false">SRC_Cap!$A17&amp;""</f>
        <v>SRC_CAP_013</v>
      </c>
      <c r="B508" s="54" t="s">
        <v>6788</v>
      </c>
      <c r="C508" s="53" t="n">
        <v>17</v>
      </c>
      <c r="D508" s="85" t="str">
        <f aca="false">SRC_Cap!$O17</f>
        <v>Active</v>
      </c>
      <c r="E508" s="85" t="n">
        <f aca="false">SRC_Cap!$K17</f>
        <v>2</v>
      </c>
      <c r="F508" s="85" t="str">
        <f aca="false">SRC_Cap!$S17</f>
        <v>—</v>
      </c>
    </row>
    <row r="509" customFormat="false" ht="15" hidden="false" customHeight="false" outlineLevel="0" collapsed="false">
      <c r="A509" s="85" t="str">
        <f aca="false">SRC_Cap!$A18&amp;""</f>
        <v>SRC_CAP_014</v>
      </c>
      <c r="B509" s="54" t="s">
        <v>6788</v>
      </c>
      <c r="C509" s="53" t="n">
        <v>18</v>
      </c>
      <c r="D509" s="85" t="str">
        <f aca="false">SRC_Cap!$O18</f>
        <v>Active</v>
      </c>
      <c r="E509" s="85" t="n">
        <f aca="false">SRC_Cap!$K18</f>
        <v>2</v>
      </c>
      <c r="F509" s="85" t="str">
        <f aca="false">SRC_Cap!$S18</f>
        <v>—</v>
      </c>
    </row>
    <row r="510" customFormat="false" ht="15" hidden="false" customHeight="false" outlineLevel="0" collapsed="false">
      <c r="A510" s="85" t="str">
        <f aca="false">SRC_Cap!$A19&amp;""</f>
        <v>SRC_CAP_015</v>
      </c>
      <c r="B510" s="54" t="s">
        <v>6788</v>
      </c>
      <c r="C510" s="53" t="n">
        <v>19</v>
      </c>
      <c r="D510" s="85" t="str">
        <f aca="false">SRC_Cap!$O19</f>
        <v>Active</v>
      </c>
      <c r="E510" s="85" t="n">
        <f aca="false">SRC_Cap!$K19</f>
        <v>2</v>
      </c>
      <c r="F510" s="85" t="str">
        <f aca="false">SRC_Cap!$S19</f>
        <v>—</v>
      </c>
    </row>
    <row r="511" customFormat="false" ht="15" hidden="false" customHeight="false" outlineLevel="0" collapsed="false">
      <c r="A511" s="85" t="str">
        <f aca="false">SRC_Cap!$A20&amp;""</f>
        <v>SRC_CAP_016</v>
      </c>
      <c r="B511" s="54" t="s">
        <v>6788</v>
      </c>
      <c r="C511" s="53" t="n">
        <v>20</v>
      </c>
      <c r="D511" s="85" t="str">
        <f aca="false">SRC_Cap!$O20</f>
        <v>Active</v>
      </c>
      <c r="E511" s="85" t="n">
        <f aca="false">SRC_Cap!$K20</f>
        <v>2</v>
      </c>
      <c r="F511" s="85" t="str">
        <f aca="false">SRC_Cap!$S20</f>
        <v>—</v>
      </c>
    </row>
    <row r="512" customFormat="false" ht="15" hidden="false" customHeight="false" outlineLevel="0" collapsed="false">
      <c r="A512" s="85" t="str">
        <f aca="false">SRC_Cap!$A21&amp;""</f>
        <v>SRC_CAP_017</v>
      </c>
      <c r="B512" s="54" t="s">
        <v>6788</v>
      </c>
      <c r="C512" s="53" t="n">
        <v>21</v>
      </c>
      <c r="D512" s="85" t="str">
        <f aca="false">SRC_Cap!$O21</f>
        <v>Active</v>
      </c>
      <c r="E512" s="85" t="n">
        <f aca="false">SRC_Cap!$K21</f>
        <v>2</v>
      </c>
      <c r="F512" s="85" t="str">
        <f aca="false">SRC_Cap!$S21</f>
        <v>—</v>
      </c>
    </row>
    <row r="513" customFormat="false" ht="15" hidden="false" customHeight="false" outlineLevel="0" collapsed="false">
      <c r="A513" s="85" t="str">
        <f aca="false">SRC_Cap!$A22&amp;""</f>
        <v>SRC_CAP_018</v>
      </c>
      <c r="B513" s="54" t="s">
        <v>6788</v>
      </c>
      <c r="C513" s="53" t="n">
        <v>22</v>
      </c>
      <c r="D513" s="85" t="str">
        <f aca="false">SRC_Cap!$O22</f>
        <v>Active</v>
      </c>
      <c r="E513" s="85" t="n">
        <f aca="false">SRC_Cap!$K22</f>
        <v>2</v>
      </c>
      <c r="F513" s="85" t="str">
        <f aca="false">SRC_Cap!$S22</f>
        <v>—</v>
      </c>
    </row>
    <row r="514" customFormat="false" ht="15" hidden="false" customHeight="false" outlineLevel="0" collapsed="false">
      <c r="A514" s="85" t="str">
        <f aca="false">SRC_Cap!$A23&amp;""</f>
        <v>SRC_CAP_019</v>
      </c>
      <c r="B514" s="54" t="s">
        <v>6788</v>
      </c>
      <c r="C514" s="53" t="n">
        <v>23</v>
      </c>
      <c r="D514" s="85" t="str">
        <f aca="false">SRC_Cap!$O23</f>
        <v>Active</v>
      </c>
      <c r="E514" s="85" t="n">
        <f aca="false">SRC_Cap!$K23</f>
        <v>2</v>
      </c>
      <c r="F514" s="85" t="str">
        <f aca="false">SRC_Cap!$S23</f>
        <v>—</v>
      </c>
    </row>
    <row r="515" customFormat="false" ht="15" hidden="false" customHeight="false" outlineLevel="0" collapsed="false">
      <c r="A515" s="85" t="str">
        <f aca="false">SRC_Cap!$A24&amp;""</f>
        <v>SRC_CAP_020</v>
      </c>
      <c r="B515" s="54" t="s">
        <v>6788</v>
      </c>
      <c r="C515" s="53" t="n">
        <v>24</v>
      </c>
      <c r="D515" s="85" t="str">
        <f aca="false">SRC_Cap!$O24</f>
        <v>Active</v>
      </c>
      <c r="E515" s="85" t="n">
        <f aca="false">SRC_Cap!$K24</f>
        <v>2</v>
      </c>
      <c r="F515" s="85" t="str">
        <f aca="false">SRC_Cap!$S24</f>
        <v>—</v>
      </c>
    </row>
    <row r="516" customFormat="false" ht="15" hidden="false" customHeight="false" outlineLevel="0" collapsed="false">
      <c r="A516" s="85" t="str">
        <f aca="false">SRC_Cap!$A25&amp;""</f>
        <v>SRC_CAP_021</v>
      </c>
      <c r="B516" s="54" t="s">
        <v>6788</v>
      </c>
      <c r="C516" s="53" t="n">
        <v>25</v>
      </c>
      <c r="D516" s="85" t="str">
        <f aca="false">SRC_Cap!$O25</f>
        <v>Active</v>
      </c>
      <c r="E516" s="85" t="n">
        <f aca="false">SRC_Cap!$K25</f>
        <v>2</v>
      </c>
      <c r="F516" s="85" t="str">
        <f aca="false">SRC_Cap!$S25</f>
        <v>—</v>
      </c>
    </row>
    <row r="517" customFormat="false" ht="15" hidden="false" customHeight="false" outlineLevel="0" collapsed="false">
      <c r="A517" s="85" t="str">
        <f aca="false">SRC_Cap!$A26&amp;""</f>
        <v/>
      </c>
      <c r="B517" s="54" t="s">
        <v>6788</v>
      </c>
      <c r="C517" s="53" t="n">
        <v>26</v>
      </c>
      <c r="D517" s="85" t="n">
        <f aca="false">SRC_Cap!$O26</f>
        <v>0</v>
      </c>
      <c r="E517" s="85" t="n">
        <f aca="false">SRC_Cap!$K26</f>
        <v>0</v>
      </c>
      <c r="F517" s="85" t="n">
        <f aca="false">SRC_Cap!$S26</f>
        <v>0</v>
      </c>
    </row>
    <row r="518" customFormat="false" ht="15" hidden="false" customHeight="false" outlineLevel="0" collapsed="false">
      <c r="A518" s="85" t="str">
        <f aca="false">SRC_Cap!$A27&amp;""</f>
        <v/>
      </c>
      <c r="B518" s="54" t="s">
        <v>6788</v>
      </c>
      <c r="C518" s="53" t="n">
        <v>27</v>
      </c>
      <c r="D518" s="85" t="n">
        <f aca="false">SRC_Cap!$O27</f>
        <v>0</v>
      </c>
      <c r="E518" s="85" t="n">
        <f aca="false">SRC_Cap!$K27</f>
        <v>0</v>
      </c>
      <c r="F518" s="85" t="n">
        <f aca="false">SRC_Cap!$S27</f>
        <v>0</v>
      </c>
    </row>
    <row r="519" customFormat="false" ht="15" hidden="false" customHeight="false" outlineLevel="0" collapsed="false">
      <c r="A519" s="85" t="str">
        <f aca="false">SRC_Cap!$A28&amp;""</f>
        <v/>
      </c>
      <c r="B519" s="54" t="s">
        <v>6788</v>
      </c>
      <c r="C519" s="53" t="n">
        <v>28</v>
      </c>
      <c r="D519" s="85" t="n">
        <f aca="false">SRC_Cap!$O28</f>
        <v>0</v>
      </c>
      <c r="E519" s="85" t="n">
        <f aca="false">SRC_Cap!$K28</f>
        <v>0</v>
      </c>
      <c r="F519" s="85" t="n">
        <f aca="false">SRC_Cap!$S28</f>
        <v>0</v>
      </c>
    </row>
    <row r="520" customFormat="false" ht="15" hidden="false" customHeight="false" outlineLevel="0" collapsed="false">
      <c r="A520" s="85" t="str">
        <f aca="false">SRC_Cap!$A29&amp;""</f>
        <v/>
      </c>
      <c r="B520" s="54" t="s">
        <v>6788</v>
      </c>
      <c r="C520" s="53" t="n">
        <v>29</v>
      </c>
      <c r="D520" s="85" t="n">
        <f aca="false">SRC_Cap!$O29</f>
        <v>0</v>
      </c>
      <c r="E520" s="85" t="n">
        <f aca="false">SRC_Cap!$K29</f>
        <v>0</v>
      </c>
      <c r="F520" s="85" t="n">
        <f aca="false">SRC_Cap!$S29</f>
        <v>0</v>
      </c>
    </row>
    <row r="521" customFormat="false" ht="15" hidden="false" customHeight="false" outlineLevel="0" collapsed="false">
      <c r="A521" s="85" t="str">
        <f aca="false">SRC_Cap!$A30&amp;""</f>
        <v/>
      </c>
      <c r="B521" s="54" t="s">
        <v>6788</v>
      </c>
      <c r="C521" s="53" t="n">
        <v>30</v>
      </c>
      <c r="D521" s="85" t="n">
        <f aca="false">SRC_Cap!$O30</f>
        <v>0</v>
      </c>
      <c r="E521" s="85" t="n">
        <f aca="false">SRC_Cap!$K30</f>
        <v>0</v>
      </c>
      <c r="F521" s="85" t="n">
        <f aca="false">SRC_Cap!$S30</f>
        <v>0</v>
      </c>
    </row>
    <row r="522" customFormat="false" ht="15" hidden="false" customHeight="false" outlineLevel="0" collapsed="false">
      <c r="A522" s="85" t="str">
        <f aca="false">SRC_Cap!$A31&amp;""</f>
        <v/>
      </c>
      <c r="B522" s="54" t="s">
        <v>6788</v>
      </c>
      <c r="C522" s="53" t="n">
        <v>31</v>
      </c>
      <c r="D522" s="85" t="n">
        <f aca="false">SRC_Cap!$O31</f>
        <v>0</v>
      </c>
      <c r="E522" s="85" t="n">
        <f aca="false">SRC_Cap!$K31</f>
        <v>0</v>
      </c>
      <c r="F522" s="85" t="n">
        <f aca="false">SRC_Cap!$S31</f>
        <v>0</v>
      </c>
    </row>
    <row r="523" customFormat="false" ht="15" hidden="false" customHeight="false" outlineLevel="0" collapsed="false">
      <c r="A523" s="85" t="str">
        <f aca="false">SRC_Cap!$A32&amp;""</f>
        <v/>
      </c>
      <c r="B523" s="54" t="s">
        <v>6788</v>
      </c>
      <c r="C523" s="53" t="n">
        <v>32</v>
      </c>
      <c r="D523" s="85" t="n">
        <f aca="false">SRC_Cap!$O32</f>
        <v>0</v>
      </c>
      <c r="E523" s="85" t="n">
        <f aca="false">SRC_Cap!$K32</f>
        <v>0</v>
      </c>
      <c r="F523" s="85" t="n">
        <f aca="false">SRC_Cap!$S32</f>
        <v>0</v>
      </c>
    </row>
    <row r="524" customFormat="false" ht="15" hidden="false" customHeight="false" outlineLevel="0" collapsed="false">
      <c r="A524" s="85" t="str">
        <f aca="false">SRC_Cap!$A33&amp;""</f>
        <v/>
      </c>
      <c r="B524" s="54" t="s">
        <v>6788</v>
      </c>
      <c r="C524" s="53" t="n">
        <v>33</v>
      </c>
      <c r="D524" s="85" t="n">
        <f aca="false">SRC_Cap!$O33</f>
        <v>0</v>
      </c>
      <c r="E524" s="85" t="n">
        <f aca="false">SRC_Cap!$K33</f>
        <v>0</v>
      </c>
      <c r="F524" s="85" t="n">
        <f aca="false">SRC_Cap!$S33</f>
        <v>0</v>
      </c>
    </row>
    <row r="525" customFormat="false" ht="15" hidden="false" customHeight="false" outlineLevel="0" collapsed="false">
      <c r="A525" s="85" t="str">
        <f aca="false">SRC_Cap!$A34&amp;""</f>
        <v/>
      </c>
      <c r="B525" s="54" t="s">
        <v>6788</v>
      </c>
      <c r="C525" s="53" t="n">
        <v>34</v>
      </c>
      <c r="D525" s="85" t="n">
        <f aca="false">SRC_Cap!$O34</f>
        <v>0</v>
      </c>
      <c r="E525" s="85" t="n">
        <f aca="false">SRC_Cap!$K34</f>
        <v>0</v>
      </c>
      <c r="F525" s="85" t="n">
        <f aca="false">SRC_Cap!$S34</f>
        <v>0</v>
      </c>
    </row>
    <row r="526" customFormat="false" ht="15" hidden="false" customHeight="false" outlineLevel="0" collapsed="false">
      <c r="A526" s="85" t="str">
        <f aca="false">SRC_Cap!$A35&amp;""</f>
        <v/>
      </c>
      <c r="B526" s="54" t="s">
        <v>6788</v>
      </c>
      <c r="C526" s="53" t="n">
        <v>35</v>
      </c>
      <c r="D526" s="85" t="n">
        <f aca="false">SRC_Cap!$O35</f>
        <v>0</v>
      </c>
      <c r="E526" s="85" t="n">
        <f aca="false">SRC_Cap!$K35</f>
        <v>0</v>
      </c>
      <c r="F526" s="85" t="n">
        <f aca="false">SRC_Cap!$S35</f>
        <v>0</v>
      </c>
    </row>
    <row r="527" customFormat="false" ht="15" hidden="false" customHeight="false" outlineLevel="0" collapsed="false">
      <c r="A527" s="85" t="str">
        <f aca="false">SRC_Cap!$A36&amp;""</f>
        <v/>
      </c>
      <c r="B527" s="54" t="s">
        <v>6788</v>
      </c>
      <c r="C527" s="53" t="n">
        <v>36</v>
      </c>
      <c r="D527" s="85" t="n">
        <f aca="false">SRC_Cap!$O36</f>
        <v>0</v>
      </c>
      <c r="E527" s="85" t="n">
        <f aca="false">SRC_Cap!$K36</f>
        <v>0</v>
      </c>
      <c r="F527" s="85" t="n">
        <f aca="false">SRC_Cap!$S36</f>
        <v>0</v>
      </c>
    </row>
    <row r="528" customFormat="false" ht="15" hidden="false" customHeight="false" outlineLevel="0" collapsed="false">
      <c r="A528" s="85" t="str">
        <f aca="false">SRC_Cap!$A37&amp;""</f>
        <v/>
      </c>
      <c r="B528" s="54" t="s">
        <v>6788</v>
      </c>
      <c r="C528" s="53" t="n">
        <v>37</v>
      </c>
      <c r="D528" s="85" t="n">
        <f aca="false">SRC_Cap!$O37</f>
        <v>0</v>
      </c>
      <c r="E528" s="85" t="n">
        <f aca="false">SRC_Cap!$K37</f>
        <v>0</v>
      </c>
      <c r="F528" s="85" t="n">
        <f aca="false">SRC_Cap!$S37</f>
        <v>0</v>
      </c>
    </row>
    <row r="529" customFormat="false" ht="15" hidden="false" customHeight="false" outlineLevel="0" collapsed="false">
      <c r="A529" s="85" t="str">
        <f aca="false">SRC_Cap!$A38&amp;""</f>
        <v/>
      </c>
      <c r="B529" s="54" t="s">
        <v>6788</v>
      </c>
      <c r="C529" s="53" t="n">
        <v>38</v>
      </c>
      <c r="D529" s="85" t="n">
        <f aca="false">SRC_Cap!$O38</f>
        <v>0</v>
      </c>
      <c r="E529" s="85" t="n">
        <f aca="false">SRC_Cap!$K38</f>
        <v>0</v>
      </c>
      <c r="F529" s="85" t="n">
        <f aca="false">SRC_Cap!$S38</f>
        <v>0</v>
      </c>
    </row>
    <row r="530" customFormat="false" ht="15" hidden="false" customHeight="false" outlineLevel="0" collapsed="false">
      <c r="A530" s="85" t="str">
        <f aca="false">SRC_Cap!$A39&amp;""</f>
        <v/>
      </c>
      <c r="B530" s="54" t="s">
        <v>6788</v>
      </c>
      <c r="C530" s="53" t="n">
        <v>39</v>
      </c>
      <c r="D530" s="85" t="n">
        <f aca="false">SRC_Cap!$O39</f>
        <v>0</v>
      </c>
      <c r="E530" s="85" t="n">
        <f aca="false">SRC_Cap!$K39</f>
        <v>0</v>
      </c>
      <c r="F530" s="85" t="n">
        <f aca="false">SRC_Cap!$S39</f>
        <v>0</v>
      </c>
    </row>
    <row r="531" customFormat="false" ht="15" hidden="false" customHeight="false" outlineLevel="0" collapsed="false">
      <c r="A531" s="85" t="str">
        <f aca="false">SRC_Cap!$A40&amp;""</f>
        <v/>
      </c>
      <c r="B531" s="54" t="s">
        <v>6788</v>
      </c>
      <c r="C531" s="53" t="n">
        <v>40</v>
      </c>
      <c r="D531" s="85" t="n">
        <f aca="false">SRC_Cap!$O40</f>
        <v>0</v>
      </c>
      <c r="E531" s="85" t="n">
        <f aca="false">SRC_Cap!$K40</f>
        <v>0</v>
      </c>
      <c r="F531" s="85" t="n">
        <f aca="false">SRC_Cap!$S40</f>
        <v>0</v>
      </c>
    </row>
    <row r="532" customFormat="false" ht="15" hidden="false" customHeight="false" outlineLevel="0" collapsed="false">
      <c r="A532" s="85" t="str">
        <f aca="false">SRC_Cap!$A41&amp;""</f>
        <v/>
      </c>
      <c r="B532" s="54" t="s">
        <v>6788</v>
      </c>
      <c r="C532" s="53" t="n">
        <v>41</v>
      </c>
      <c r="D532" s="85" t="n">
        <f aca="false">SRC_Cap!$O41</f>
        <v>0</v>
      </c>
      <c r="E532" s="85" t="n">
        <f aca="false">SRC_Cap!$K41</f>
        <v>0</v>
      </c>
      <c r="F532" s="85" t="n">
        <f aca="false">SRC_Cap!$S41</f>
        <v>0</v>
      </c>
    </row>
    <row r="533" customFormat="false" ht="15" hidden="false" customHeight="false" outlineLevel="0" collapsed="false">
      <c r="A533" s="85" t="str">
        <f aca="false">SRC_Cap!$A42&amp;""</f>
        <v/>
      </c>
      <c r="B533" s="54" t="s">
        <v>6788</v>
      </c>
      <c r="C533" s="53" t="n">
        <v>42</v>
      </c>
      <c r="D533" s="85" t="n">
        <f aca="false">SRC_Cap!$O42</f>
        <v>0</v>
      </c>
      <c r="E533" s="85" t="n">
        <f aca="false">SRC_Cap!$K42</f>
        <v>0</v>
      </c>
      <c r="F533" s="85" t="n">
        <f aca="false">SRC_Cap!$S42</f>
        <v>0</v>
      </c>
    </row>
    <row r="534" customFormat="false" ht="15" hidden="false" customHeight="false" outlineLevel="0" collapsed="false">
      <c r="A534" s="85" t="str">
        <f aca="false">SRC_Cap!$A43&amp;""</f>
        <v/>
      </c>
      <c r="B534" s="54" t="s">
        <v>6788</v>
      </c>
      <c r="C534" s="53" t="n">
        <v>43</v>
      </c>
      <c r="D534" s="85" t="n">
        <f aca="false">SRC_Cap!$O43</f>
        <v>0</v>
      </c>
      <c r="E534" s="85" t="n">
        <f aca="false">SRC_Cap!$K43</f>
        <v>0</v>
      </c>
      <c r="F534" s="85" t="n">
        <f aca="false">SRC_Cap!$S43</f>
        <v>0</v>
      </c>
    </row>
    <row r="535" customFormat="false" ht="15" hidden="false" customHeight="false" outlineLevel="0" collapsed="false">
      <c r="A535" s="85" t="str">
        <f aca="false">SRC_Cap!$A44&amp;""</f>
        <v/>
      </c>
      <c r="B535" s="54" t="s">
        <v>6788</v>
      </c>
      <c r="C535" s="53" t="n">
        <v>44</v>
      </c>
      <c r="D535" s="85" t="n">
        <f aca="false">SRC_Cap!$O44</f>
        <v>0</v>
      </c>
      <c r="E535" s="85" t="n">
        <f aca="false">SRC_Cap!$K44</f>
        <v>0</v>
      </c>
      <c r="F535" s="85" t="n">
        <f aca="false">SRC_Cap!$S44</f>
        <v>0</v>
      </c>
    </row>
    <row r="536" customFormat="false" ht="15" hidden="false" customHeight="false" outlineLevel="0" collapsed="false">
      <c r="A536" s="85" t="str">
        <f aca="false">SRC_Cap!$A45&amp;""</f>
        <v/>
      </c>
      <c r="B536" s="54" t="s">
        <v>6788</v>
      </c>
      <c r="C536" s="53" t="n">
        <v>45</v>
      </c>
      <c r="D536" s="85" t="n">
        <f aca="false">SRC_Cap!$O45</f>
        <v>0</v>
      </c>
      <c r="E536" s="85" t="n">
        <f aca="false">SRC_Cap!$K45</f>
        <v>0</v>
      </c>
      <c r="F536" s="85" t="n">
        <f aca="false">SRC_Cap!$S45</f>
        <v>0</v>
      </c>
    </row>
    <row r="537" customFormat="false" ht="15" hidden="false" customHeight="false" outlineLevel="0" collapsed="false">
      <c r="A537" s="85" t="str">
        <f aca="false">SRC_Cap!$A46&amp;""</f>
        <v/>
      </c>
      <c r="B537" s="54" t="s">
        <v>6788</v>
      </c>
      <c r="C537" s="53" t="n">
        <v>46</v>
      </c>
      <c r="D537" s="85" t="n">
        <f aca="false">SRC_Cap!$O46</f>
        <v>0</v>
      </c>
      <c r="E537" s="85" t="n">
        <f aca="false">SRC_Cap!$K46</f>
        <v>0</v>
      </c>
      <c r="F537" s="85" t="n">
        <f aca="false">SRC_Cap!$S46</f>
        <v>0</v>
      </c>
    </row>
    <row r="538" customFormat="false" ht="15" hidden="false" customHeight="false" outlineLevel="0" collapsed="false">
      <c r="A538" s="85" t="str">
        <f aca="false">SRC_Cap!$A47&amp;""</f>
        <v/>
      </c>
      <c r="B538" s="54" t="s">
        <v>6788</v>
      </c>
      <c r="C538" s="53" t="n">
        <v>47</v>
      </c>
      <c r="D538" s="85" t="n">
        <f aca="false">SRC_Cap!$O47</f>
        <v>0</v>
      </c>
      <c r="E538" s="85" t="n">
        <f aca="false">SRC_Cap!$K47</f>
        <v>0</v>
      </c>
      <c r="F538" s="85" t="n">
        <f aca="false">SRC_Cap!$S47</f>
        <v>0</v>
      </c>
    </row>
    <row r="539" customFormat="false" ht="15" hidden="false" customHeight="false" outlineLevel="0" collapsed="false">
      <c r="A539" s="85" t="str">
        <f aca="false">SRC_Cap!$A48&amp;""</f>
        <v/>
      </c>
      <c r="B539" s="54" t="s">
        <v>6788</v>
      </c>
      <c r="C539" s="53" t="n">
        <v>48</v>
      </c>
      <c r="D539" s="85" t="n">
        <f aca="false">SRC_Cap!$O48</f>
        <v>0</v>
      </c>
      <c r="E539" s="85" t="n">
        <f aca="false">SRC_Cap!$K48</f>
        <v>0</v>
      </c>
      <c r="F539" s="85" t="n">
        <f aca="false">SRC_Cap!$S48</f>
        <v>0</v>
      </c>
    </row>
    <row r="540" customFormat="false" ht="15" hidden="false" customHeight="false" outlineLevel="0" collapsed="false">
      <c r="A540" s="85" t="str">
        <f aca="false">SRC_Cap!$A49&amp;""</f>
        <v/>
      </c>
      <c r="B540" s="54" t="s">
        <v>6788</v>
      </c>
      <c r="C540" s="53" t="n">
        <v>49</v>
      </c>
      <c r="D540" s="85" t="n">
        <f aca="false">SRC_Cap!$O49</f>
        <v>0</v>
      </c>
      <c r="E540" s="85" t="n">
        <f aca="false">SRC_Cap!$K49</f>
        <v>0</v>
      </c>
      <c r="F540" s="85" t="n">
        <f aca="false">SRC_Cap!$S49</f>
        <v>0</v>
      </c>
    </row>
    <row r="541" customFormat="false" ht="15" hidden="false" customHeight="false" outlineLevel="0" collapsed="false">
      <c r="A541" s="85" t="str">
        <f aca="false">SRC_Cap!$A50&amp;""</f>
        <v/>
      </c>
      <c r="B541" s="54" t="s">
        <v>6788</v>
      </c>
      <c r="C541" s="53" t="n">
        <v>50</v>
      </c>
      <c r="D541" s="85" t="n">
        <f aca="false">SRC_Cap!$O50</f>
        <v>0</v>
      </c>
      <c r="E541" s="85" t="n">
        <f aca="false">SRC_Cap!$K50</f>
        <v>0</v>
      </c>
      <c r="F541" s="85" t="n">
        <f aca="false">SRC_Cap!$S50</f>
        <v>0</v>
      </c>
    </row>
    <row r="542" customFormat="false" ht="15" hidden="false" customHeight="false" outlineLevel="0" collapsed="false">
      <c r="A542" s="85" t="str">
        <f aca="false">SRC_Cap!$A51&amp;""</f>
        <v/>
      </c>
      <c r="B542" s="54" t="s">
        <v>6788</v>
      </c>
      <c r="C542" s="53" t="n">
        <v>51</v>
      </c>
      <c r="D542" s="85" t="n">
        <f aca="false">SRC_Cap!$O51</f>
        <v>0</v>
      </c>
      <c r="E542" s="85" t="n">
        <f aca="false">SRC_Cap!$K51</f>
        <v>0</v>
      </c>
      <c r="F542" s="85" t="n">
        <f aca="false">SRC_Cap!$S51</f>
        <v>0</v>
      </c>
    </row>
    <row r="543" customFormat="false" ht="15" hidden="false" customHeight="false" outlineLevel="0" collapsed="false">
      <c r="A543" s="85" t="str">
        <f aca="false">SRC_Cap!$A52&amp;""</f>
        <v/>
      </c>
      <c r="B543" s="54" t="s">
        <v>6788</v>
      </c>
      <c r="C543" s="53" t="n">
        <v>52</v>
      </c>
      <c r="D543" s="85" t="n">
        <f aca="false">SRC_Cap!$O52</f>
        <v>0</v>
      </c>
      <c r="E543" s="85" t="n">
        <f aca="false">SRC_Cap!$K52</f>
        <v>0</v>
      </c>
      <c r="F543" s="85" t="n">
        <f aca="false">SRC_Cap!$S52</f>
        <v>0</v>
      </c>
    </row>
    <row r="544" customFormat="false" ht="15" hidden="false" customHeight="false" outlineLevel="0" collapsed="false">
      <c r="A544" s="85" t="str">
        <f aca="false">SRC_Cap!$A53&amp;""</f>
        <v/>
      </c>
      <c r="B544" s="54" t="s">
        <v>6788</v>
      </c>
      <c r="C544" s="53" t="n">
        <v>53</v>
      </c>
      <c r="D544" s="85" t="n">
        <f aca="false">SRC_Cap!$O53</f>
        <v>0</v>
      </c>
      <c r="E544" s="85" t="n">
        <f aca="false">SRC_Cap!$K53</f>
        <v>0</v>
      </c>
      <c r="F544" s="85" t="n">
        <f aca="false">SRC_Cap!$S53</f>
        <v>0</v>
      </c>
    </row>
    <row r="545" customFormat="false" ht="15" hidden="false" customHeight="false" outlineLevel="0" collapsed="false">
      <c r="A545" s="85" t="str">
        <f aca="false">SRC_Cap!$A54&amp;""</f>
        <v/>
      </c>
      <c r="B545" s="54" t="s">
        <v>6788</v>
      </c>
      <c r="C545" s="53" t="n">
        <v>54</v>
      </c>
      <c r="D545" s="85" t="n">
        <f aca="false">SRC_Cap!$O54</f>
        <v>0</v>
      </c>
      <c r="E545" s="85" t="n">
        <f aca="false">SRC_Cap!$K54</f>
        <v>0</v>
      </c>
      <c r="F545" s="85" t="n">
        <f aca="false">SRC_Cap!$S54</f>
        <v>0</v>
      </c>
    </row>
    <row r="546" customFormat="false" ht="15" hidden="false" customHeight="false" outlineLevel="0" collapsed="false">
      <c r="A546" s="85" t="str">
        <f aca="false">SRC_Cap!$A55&amp;""</f>
        <v/>
      </c>
      <c r="B546" s="54" t="s">
        <v>6788</v>
      </c>
      <c r="C546" s="53" t="n">
        <v>55</v>
      </c>
      <c r="D546" s="85" t="n">
        <f aca="false">SRC_Cap!$O55</f>
        <v>0</v>
      </c>
      <c r="E546" s="85" t="n">
        <f aca="false">SRC_Cap!$K55</f>
        <v>0</v>
      </c>
      <c r="F546" s="85" t="n">
        <f aca="false">SRC_Cap!$S55</f>
        <v>0</v>
      </c>
    </row>
    <row r="547" customFormat="false" ht="15" hidden="false" customHeight="false" outlineLevel="0" collapsed="false">
      <c r="A547" s="85" t="str">
        <f aca="false">SRC_Cap!$A56&amp;""</f>
        <v/>
      </c>
      <c r="B547" s="54" t="s">
        <v>6788</v>
      </c>
      <c r="C547" s="53" t="n">
        <v>56</v>
      </c>
      <c r="D547" s="85" t="n">
        <f aca="false">SRC_Cap!$O56</f>
        <v>0</v>
      </c>
      <c r="E547" s="85" t="n">
        <f aca="false">SRC_Cap!$K56</f>
        <v>0</v>
      </c>
      <c r="F547" s="85" t="n">
        <f aca="false">SRC_Cap!$S56</f>
        <v>0</v>
      </c>
    </row>
    <row r="548" customFormat="false" ht="15" hidden="false" customHeight="false" outlineLevel="0" collapsed="false">
      <c r="A548" s="85" t="str">
        <f aca="false">SRC_Cap!$A57&amp;""</f>
        <v/>
      </c>
      <c r="B548" s="54" t="s">
        <v>6788</v>
      </c>
      <c r="C548" s="53" t="n">
        <v>57</v>
      </c>
      <c r="D548" s="85" t="n">
        <f aca="false">SRC_Cap!$O57</f>
        <v>0</v>
      </c>
      <c r="E548" s="85" t="n">
        <f aca="false">SRC_Cap!$K57</f>
        <v>0</v>
      </c>
      <c r="F548" s="85" t="n">
        <f aca="false">SRC_Cap!$S57</f>
        <v>0</v>
      </c>
    </row>
    <row r="549" customFormat="false" ht="15" hidden="false" customHeight="false" outlineLevel="0" collapsed="false">
      <c r="A549" s="85" t="str">
        <f aca="false">SRC_Cap!$A58&amp;""</f>
        <v/>
      </c>
      <c r="B549" s="54" t="s">
        <v>6788</v>
      </c>
      <c r="C549" s="53" t="n">
        <v>58</v>
      </c>
      <c r="D549" s="85" t="n">
        <f aca="false">SRC_Cap!$O58</f>
        <v>0</v>
      </c>
      <c r="E549" s="85" t="n">
        <f aca="false">SRC_Cap!$K58</f>
        <v>0</v>
      </c>
      <c r="F549" s="85" t="n">
        <f aca="false">SRC_Cap!$S58</f>
        <v>0</v>
      </c>
    </row>
    <row r="550" customFormat="false" ht="15" hidden="false" customHeight="false" outlineLevel="0" collapsed="false">
      <c r="A550" s="85" t="str">
        <f aca="false">SRC_Cap!$A59&amp;""</f>
        <v/>
      </c>
      <c r="B550" s="54" t="s">
        <v>6788</v>
      </c>
      <c r="C550" s="53" t="n">
        <v>59</v>
      </c>
      <c r="D550" s="85" t="n">
        <f aca="false">SRC_Cap!$O59</f>
        <v>0</v>
      </c>
      <c r="E550" s="85" t="n">
        <f aca="false">SRC_Cap!$K59</f>
        <v>0</v>
      </c>
      <c r="F550" s="85" t="n">
        <f aca="false">SRC_Cap!$S59</f>
        <v>0</v>
      </c>
    </row>
    <row r="551" customFormat="false" ht="15" hidden="false" customHeight="false" outlineLevel="0" collapsed="false">
      <c r="A551" s="85" t="str">
        <f aca="false">SRC_Cap!$A60&amp;""</f>
        <v/>
      </c>
      <c r="B551" s="54" t="s">
        <v>6788</v>
      </c>
      <c r="C551" s="53" t="n">
        <v>60</v>
      </c>
      <c r="D551" s="85" t="n">
        <f aca="false">SRC_Cap!$O60</f>
        <v>0</v>
      </c>
      <c r="E551" s="85" t="n">
        <f aca="false">SRC_Cap!$K60</f>
        <v>0</v>
      </c>
      <c r="F551" s="85" t="n">
        <f aca="false">SRC_Cap!$S60</f>
        <v>0</v>
      </c>
    </row>
    <row r="552" customFormat="false" ht="15" hidden="false" customHeight="false" outlineLevel="0" collapsed="false">
      <c r="A552" s="85" t="str">
        <f aca="false">SRC_Cap!$A61&amp;""</f>
        <v/>
      </c>
      <c r="B552" s="54" t="s">
        <v>6788</v>
      </c>
      <c r="C552" s="53" t="n">
        <v>61</v>
      </c>
      <c r="D552" s="85" t="n">
        <f aca="false">SRC_Cap!$O61</f>
        <v>0</v>
      </c>
      <c r="E552" s="85" t="n">
        <f aca="false">SRC_Cap!$K61</f>
        <v>0</v>
      </c>
      <c r="F552" s="85" t="n">
        <f aca="false">SRC_Cap!$S61</f>
        <v>0</v>
      </c>
    </row>
    <row r="553" customFormat="false" ht="15" hidden="false" customHeight="false" outlineLevel="0" collapsed="false">
      <c r="A553" s="85" t="str">
        <f aca="false">SRC_Cap!$A62&amp;""</f>
        <v/>
      </c>
      <c r="B553" s="54" t="s">
        <v>6788</v>
      </c>
      <c r="C553" s="53" t="n">
        <v>62</v>
      </c>
      <c r="D553" s="85" t="n">
        <f aca="false">SRC_Cap!$O62</f>
        <v>0</v>
      </c>
      <c r="E553" s="85" t="n">
        <f aca="false">SRC_Cap!$K62</f>
        <v>0</v>
      </c>
      <c r="F553" s="85" t="n">
        <f aca="false">SRC_Cap!$S62</f>
        <v>0</v>
      </c>
    </row>
    <row r="554" customFormat="false" ht="15" hidden="false" customHeight="false" outlineLevel="0" collapsed="false">
      <c r="A554" s="85" t="str">
        <f aca="false">SRC_Cap!$A63&amp;""</f>
        <v/>
      </c>
      <c r="B554" s="54" t="s">
        <v>6788</v>
      </c>
      <c r="C554" s="53" t="n">
        <v>63</v>
      </c>
      <c r="D554" s="85" t="n">
        <f aca="false">SRC_Cap!$O63</f>
        <v>0</v>
      </c>
      <c r="E554" s="85" t="n">
        <f aca="false">SRC_Cap!$K63</f>
        <v>0</v>
      </c>
      <c r="F554" s="85" t="n">
        <f aca="false">SRC_Cap!$S63</f>
        <v>0</v>
      </c>
    </row>
    <row r="555" customFormat="false" ht="15" hidden="false" customHeight="false" outlineLevel="0" collapsed="false">
      <c r="A555" s="85" t="str">
        <f aca="false">SRC_Cap!$A64&amp;""</f>
        <v/>
      </c>
      <c r="B555" s="54" t="s">
        <v>6788</v>
      </c>
      <c r="C555" s="53" t="n">
        <v>64</v>
      </c>
      <c r="D555" s="85" t="n">
        <f aca="false">SRC_Cap!$O64</f>
        <v>0</v>
      </c>
      <c r="E555" s="85" t="n">
        <f aca="false">SRC_Cap!$K64</f>
        <v>0</v>
      </c>
      <c r="F555" s="85" t="n">
        <f aca="false">SRC_Cap!$S64</f>
        <v>0</v>
      </c>
    </row>
    <row r="556" customFormat="false" ht="15" hidden="false" customHeight="false" outlineLevel="0" collapsed="false">
      <c r="A556" s="85" t="str">
        <f aca="false">SRC_Cap!$A65&amp;""</f>
        <v/>
      </c>
      <c r="B556" s="54" t="s">
        <v>6788</v>
      </c>
      <c r="C556" s="53" t="n">
        <v>65</v>
      </c>
      <c r="D556" s="85" t="n">
        <f aca="false">SRC_Cap!$O65</f>
        <v>0</v>
      </c>
      <c r="E556" s="85" t="n">
        <f aca="false">SRC_Cap!$K65</f>
        <v>0</v>
      </c>
      <c r="F556" s="85" t="n">
        <f aca="false">SRC_Cap!$S65</f>
        <v>0</v>
      </c>
    </row>
    <row r="557" customFormat="false" ht="15" hidden="false" customHeight="false" outlineLevel="0" collapsed="false">
      <c r="A557" s="85" t="str">
        <f aca="false">SRC_Cap!$A66&amp;""</f>
        <v/>
      </c>
      <c r="B557" s="54" t="s">
        <v>6788</v>
      </c>
      <c r="C557" s="53" t="n">
        <v>66</v>
      </c>
      <c r="D557" s="85" t="n">
        <f aca="false">SRC_Cap!$O66</f>
        <v>0</v>
      </c>
      <c r="E557" s="85" t="n">
        <f aca="false">SRC_Cap!$K66</f>
        <v>0</v>
      </c>
      <c r="F557" s="85" t="n">
        <f aca="false">SRC_Cap!$S66</f>
        <v>0</v>
      </c>
    </row>
    <row r="558" customFormat="false" ht="15" hidden="false" customHeight="false" outlineLevel="0" collapsed="false">
      <c r="A558" s="85" t="str">
        <f aca="false">SRC_Cap!$A67&amp;""</f>
        <v/>
      </c>
      <c r="B558" s="54" t="s">
        <v>6788</v>
      </c>
      <c r="C558" s="53" t="n">
        <v>67</v>
      </c>
      <c r="D558" s="85" t="n">
        <f aca="false">SRC_Cap!$O67</f>
        <v>0</v>
      </c>
      <c r="E558" s="85" t="n">
        <f aca="false">SRC_Cap!$K67</f>
        <v>0</v>
      </c>
      <c r="F558" s="85" t="n">
        <f aca="false">SRC_Cap!$S67</f>
        <v>0</v>
      </c>
    </row>
    <row r="559" customFormat="false" ht="15" hidden="false" customHeight="false" outlineLevel="0" collapsed="false">
      <c r="A559" s="85" t="str">
        <f aca="false">SRC_Cap!$A68&amp;""</f>
        <v/>
      </c>
      <c r="B559" s="54" t="s">
        <v>6788</v>
      </c>
      <c r="C559" s="53" t="n">
        <v>68</v>
      </c>
      <c r="D559" s="85" t="n">
        <f aca="false">SRC_Cap!$O68</f>
        <v>0</v>
      </c>
      <c r="E559" s="85" t="n">
        <f aca="false">SRC_Cap!$K68</f>
        <v>0</v>
      </c>
      <c r="F559" s="85" t="n">
        <f aca="false">SRC_Cap!$S68</f>
        <v>0</v>
      </c>
    </row>
    <row r="560" customFormat="false" ht="15" hidden="false" customHeight="false" outlineLevel="0" collapsed="false">
      <c r="A560" s="85" t="str">
        <f aca="false">SRC_Cap!$A69&amp;""</f>
        <v/>
      </c>
      <c r="B560" s="54" t="s">
        <v>6788</v>
      </c>
      <c r="C560" s="53" t="n">
        <v>69</v>
      </c>
      <c r="D560" s="85" t="n">
        <f aca="false">SRC_Cap!$O69</f>
        <v>0</v>
      </c>
      <c r="E560" s="85" t="n">
        <f aca="false">SRC_Cap!$K69</f>
        <v>0</v>
      </c>
      <c r="F560" s="85" t="n">
        <f aca="false">SRC_Cap!$S69</f>
        <v>0</v>
      </c>
    </row>
    <row r="561" customFormat="false" ht="15" hidden="false" customHeight="false" outlineLevel="0" collapsed="false">
      <c r="A561" s="85" t="str">
        <f aca="false">SRC_Cap!$A70&amp;""</f>
        <v/>
      </c>
      <c r="B561" s="54" t="s">
        <v>6788</v>
      </c>
      <c r="C561" s="53" t="n">
        <v>70</v>
      </c>
      <c r="D561" s="85" t="n">
        <f aca="false">SRC_Cap!$O70</f>
        <v>0</v>
      </c>
      <c r="E561" s="85" t="n">
        <f aca="false">SRC_Cap!$K70</f>
        <v>0</v>
      </c>
      <c r="F561" s="85" t="n">
        <f aca="false">SRC_Cap!$S70</f>
        <v>0</v>
      </c>
    </row>
    <row r="562" customFormat="false" ht="15" hidden="false" customHeight="false" outlineLevel="0" collapsed="false">
      <c r="A562" s="85" t="str">
        <f aca="false">SRC_Cap!$A71&amp;""</f>
        <v/>
      </c>
      <c r="B562" s="54" t="s">
        <v>6788</v>
      </c>
      <c r="C562" s="53" t="n">
        <v>71</v>
      </c>
      <c r="D562" s="85" t="n">
        <f aca="false">SRC_Cap!$O71</f>
        <v>0</v>
      </c>
      <c r="E562" s="85" t="n">
        <f aca="false">SRC_Cap!$K71</f>
        <v>0</v>
      </c>
      <c r="F562" s="85" t="n">
        <f aca="false">SRC_Cap!$S71</f>
        <v>0</v>
      </c>
    </row>
    <row r="563" customFormat="false" ht="15" hidden="false" customHeight="false" outlineLevel="0" collapsed="false">
      <c r="A563" s="85" t="str">
        <f aca="false">SRC_Cap!$A72&amp;""</f>
        <v/>
      </c>
      <c r="B563" s="54" t="s">
        <v>6788</v>
      </c>
      <c r="C563" s="53" t="n">
        <v>72</v>
      </c>
      <c r="D563" s="85" t="n">
        <f aca="false">SRC_Cap!$O72</f>
        <v>0</v>
      </c>
      <c r="E563" s="85" t="n">
        <f aca="false">SRC_Cap!$K72</f>
        <v>0</v>
      </c>
      <c r="F563" s="85" t="n">
        <f aca="false">SRC_Cap!$S72</f>
        <v>0</v>
      </c>
    </row>
    <row r="564" customFormat="false" ht="15" hidden="false" customHeight="false" outlineLevel="0" collapsed="false">
      <c r="A564" s="85" t="str">
        <f aca="false">SRC_Cap!$A73&amp;""</f>
        <v/>
      </c>
      <c r="B564" s="54" t="s">
        <v>6788</v>
      </c>
      <c r="C564" s="53" t="n">
        <v>73</v>
      </c>
      <c r="D564" s="85" t="n">
        <f aca="false">SRC_Cap!$O73</f>
        <v>0</v>
      </c>
      <c r="E564" s="85" t="n">
        <f aca="false">SRC_Cap!$K73</f>
        <v>0</v>
      </c>
      <c r="F564" s="85" t="n">
        <f aca="false">SRC_Cap!$S73</f>
        <v>0</v>
      </c>
    </row>
    <row r="565" customFormat="false" ht="15" hidden="false" customHeight="false" outlineLevel="0" collapsed="false">
      <c r="A565" s="85" t="str">
        <f aca="false">SRC_Cap!$A74&amp;""</f>
        <v/>
      </c>
      <c r="B565" s="54" t="s">
        <v>6788</v>
      </c>
      <c r="C565" s="53" t="n">
        <v>74</v>
      </c>
      <c r="D565" s="85" t="n">
        <f aca="false">SRC_Cap!$O74</f>
        <v>0</v>
      </c>
      <c r="E565" s="85" t="n">
        <f aca="false">SRC_Cap!$K74</f>
        <v>0</v>
      </c>
      <c r="F565" s="85" t="n">
        <f aca="false">SRC_Cap!$S74</f>
        <v>0</v>
      </c>
    </row>
    <row r="566" customFormat="false" ht="15" hidden="false" customHeight="false" outlineLevel="0" collapsed="false">
      <c r="A566" s="85" t="str">
        <f aca="false">SRC_Cap!$A75&amp;""</f>
        <v/>
      </c>
      <c r="B566" s="54" t="s">
        <v>6788</v>
      </c>
      <c r="C566" s="53" t="n">
        <v>75</v>
      </c>
      <c r="D566" s="85" t="n">
        <f aca="false">SRC_Cap!$O75</f>
        <v>0</v>
      </c>
      <c r="E566" s="85" t="n">
        <f aca="false">SRC_Cap!$K75</f>
        <v>0</v>
      </c>
      <c r="F566" s="85" t="n">
        <f aca="false">SRC_Cap!$S75</f>
        <v>0</v>
      </c>
    </row>
    <row r="567" customFormat="false" ht="15" hidden="false" customHeight="false" outlineLevel="0" collapsed="false">
      <c r="A567" s="85" t="str">
        <f aca="false">SRC_Harness!$A5&amp;""</f>
        <v>SRC_HAR_001</v>
      </c>
      <c r="B567" s="54" t="s">
        <v>6789</v>
      </c>
      <c r="C567" s="53" t="n">
        <v>5</v>
      </c>
      <c r="D567" s="85" t="str">
        <f aca="false">SRC_Harness!$O5</f>
        <v>Active</v>
      </c>
      <c r="E567" s="85" t="n">
        <f aca="false">SRC_Harness!$K5</f>
        <v>2</v>
      </c>
      <c r="F567" s="85" t="str">
        <f aca="false">SRC_Harness!$S5</f>
        <v>—</v>
      </c>
    </row>
    <row r="568" customFormat="false" ht="15" hidden="false" customHeight="false" outlineLevel="0" collapsed="false">
      <c r="A568" s="85" t="str">
        <f aca="false">SRC_Harness!$A6&amp;""</f>
        <v>SRC_HAR_002</v>
      </c>
      <c r="B568" s="54" t="s">
        <v>6789</v>
      </c>
      <c r="C568" s="53" t="n">
        <v>6</v>
      </c>
      <c r="D568" s="85" t="str">
        <f aca="false">SRC_Harness!$O6</f>
        <v>Active</v>
      </c>
      <c r="E568" s="85" t="n">
        <f aca="false">SRC_Harness!$K6</f>
        <v>2</v>
      </c>
      <c r="F568" s="85" t="str">
        <f aca="false">SRC_Harness!$S6</f>
        <v>—</v>
      </c>
    </row>
    <row r="569" customFormat="false" ht="15" hidden="false" customHeight="false" outlineLevel="0" collapsed="false">
      <c r="A569" s="85" t="str">
        <f aca="false">SRC_Harness!$A7&amp;""</f>
        <v>SRC_HAR_003</v>
      </c>
      <c r="B569" s="54" t="s">
        <v>6789</v>
      </c>
      <c r="C569" s="53" t="n">
        <v>7</v>
      </c>
      <c r="D569" s="85" t="str">
        <f aca="false">SRC_Harness!$O7</f>
        <v>Active</v>
      </c>
      <c r="E569" s="85" t="n">
        <f aca="false">SRC_Harness!$K7</f>
        <v>2</v>
      </c>
      <c r="F569" s="85" t="str">
        <f aca="false">SRC_Harness!$S7</f>
        <v>—</v>
      </c>
    </row>
    <row r="570" customFormat="false" ht="15" hidden="false" customHeight="false" outlineLevel="0" collapsed="false">
      <c r="A570" s="85" t="str">
        <f aca="false">SRC_Harness!$A8&amp;""</f>
        <v>SRC_HAR_004</v>
      </c>
      <c r="B570" s="54" t="s">
        <v>6789</v>
      </c>
      <c r="C570" s="53" t="n">
        <v>8</v>
      </c>
      <c r="D570" s="85" t="str">
        <f aca="false">SRC_Harness!$O8</f>
        <v>Active</v>
      </c>
      <c r="E570" s="85" t="n">
        <f aca="false">SRC_Harness!$K8</f>
        <v>2</v>
      </c>
      <c r="F570" s="85" t="str">
        <f aca="false">SRC_Harness!$S8</f>
        <v>—</v>
      </c>
    </row>
    <row r="571" customFormat="false" ht="15" hidden="false" customHeight="false" outlineLevel="0" collapsed="false">
      <c r="A571" s="85" t="str">
        <f aca="false">SRC_Harness!$A9&amp;""</f>
        <v>SRC_HAR_005</v>
      </c>
      <c r="B571" s="54" t="s">
        <v>6789</v>
      </c>
      <c r="C571" s="53" t="n">
        <v>9</v>
      </c>
      <c r="D571" s="85" t="str">
        <f aca="false">SRC_Harness!$O9</f>
        <v>Active</v>
      </c>
      <c r="E571" s="85" t="n">
        <f aca="false">SRC_Harness!$K9</f>
        <v>2</v>
      </c>
      <c r="F571" s="85" t="str">
        <f aca="false">SRC_Harness!$S9</f>
        <v>—</v>
      </c>
    </row>
    <row r="572" customFormat="false" ht="15" hidden="false" customHeight="false" outlineLevel="0" collapsed="false">
      <c r="A572" s="85" t="str">
        <f aca="false">SRC_Harness!$A10&amp;""</f>
        <v>SRC_HAR_006</v>
      </c>
      <c r="B572" s="54" t="s">
        <v>6789</v>
      </c>
      <c r="C572" s="53" t="n">
        <v>10</v>
      </c>
      <c r="D572" s="85" t="str">
        <f aca="false">SRC_Harness!$O10</f>
        <v>Active</v>
      </c>
      <c r="E572" s="85" t="n">
        <f aca="false">SRC_Harness!$K10</f>
        <v>2</v>
      </c>
      <c r="F572" s="85" t="str">
        <f aca="false">SRC_Harness!$S10</f>
        <v>—</v>
      </c>
    </row>
    <row r="573" customFormat="false" ht="15" hidden="false" customHeight="false" outlineLevel="0" collapsed="false">
      <c r="A573" s="85" t="str">
        <f aca="false">SRC_Harness!$A11&amp;""</f>
        <v>SRC_HAR_007</v>
      </c>
      <c r="B573" s="54" t="s">
        <v>6789</v>
      </c>
      <c r="C573" s="53" t="n">
        <v>11</v>
      </c>
      <c r="D573" s="85" t="str">
        <f aca="false">SRC_Harness!$O11</f>
        <v>Active</v>
      </c>
      <c r="E573" s="85" t="n">
        <f aca="false">SRC_Harness!$K11</f>
        <v>2</v>
      </c>
      <c r="F573" s="85" t="str">
        <f aca="false">SRC_Harness!$S11</f>
        <v>—</v>
      </c>
    </row>
    <row r="574" customFormat="false" ht="15" hidden="false" customHeight="false" outlineLevel="0" collapsed="false">
      <c r="A574" s="85" t="str">
        <f aca="false">SRC_Harness!$A12&amp;""</f>
        <v>SRC_HAR_008</v>
      </c>
      <c r="B574" s="54" t="s">
        <v>6789</v>
      </c>
      <c r="C574" s="53" t="n">
        <v>12</v>
      </c>
      <c r="D574" s="85" t="str">
        <f aca="false">SRC_Harness!$O12</f>
        <v>Active</v>
      </c>
      <c r="E574" s="85" t="n">
        <f aca="false">SRC_Harness!$K12</f>
        <v>2</v>
      </c>
      <c r="F574" s="85" t="str">
        <f aca="false">SRC_Harness!$S12</f>
        <v>—</v>
      </c>
    </row>
    <row r="575" customFormat="false" ht="15" hidden="false" customHeight="false" outlineLevel="0" collapsed="false">
      <c r="A575" s="85" t="str">
        <f aca="false">SRC_Harness!$A13&amp;""</f>
        <v>SRC_HAR_009</v>
      </c>
      <c r="B575" s="54" t="s">
        <v>6789</v>
      </c>
      <c r="C575" s="53" t="n">
        <v>13</v>
      </c>
      <c r="D575" s="85" t="str">
        <f aca="false">SRC_Harness!$O13</f>
        <v>Alt</v>
      </c>
      <c r="E575" s="85" t="n">
        <f aca="false">SRC_Harness!$K13</f>
        <v>2</v>
      </c>
      <c r="F575" s="85" t="str">
        <f aca="false">SRC_Harness!$S13</f>
        <v>—</v>
      </c>
    </row>
    <row r="576" customFormat="false" ht="15" hidden="false" customHeight="false" outlineLevel="0" collapsed="false">
      <c r="A576" s="85" t="str">
        <f aca="false">SRC_Harness!$A14&amp;""</f>
        <v>SRC_HAR_010</v>
      </c>
      <c r="B576" s="54" t="s">
        <v>6789</v>
      </c>
      <c r="C576" s="53" t="n">
        <v>14</v>
      </c>
      <c r="D576" s="85" t="str">
        <f aca="false">SRC_Harness!$O14</f>
        <v>Active</v>
      </c>
      <c r="E576" s="85" t="n">
        <f aca="false">SRC_Harness!$K14</f>
        <v>2</v>
      </c>
      <c r="F576" s="85" t="str">
        <f aca="false">SRC_Harness!$S14</f>
        <v>—</v>
      </c>
    </row>
    <row r="577" customFormat="false" ht="15" hidden="false" customHeight="false" outlineLevel="0" collapsed="false">
      <c r="A577" s="85" t="str">
        <f aca="false">SRC_Harness!$A15&amp;""</f>
        <v>SRC_HAR_011</v>
      </c>
      <c r="B577" s="54" t="s">
        <v>6789</v>
      </c>
      <c r="C577" s="53" t="n">
        <v>15</v>
      </c>
      <c r="D577" s="85" t="str">
        <f aca="false">SRC_Harness!$O15</f>
        <v>Active</v>
      </c>
      <c r="E577" s="85" t="n">
        <f aca="false">SRC_Harness!$K15</f>
        <v>2</v>
      </c>
      <c r="F577" s="85" t="str">
        <f aca="false">SRC_Harness!$S15</f>
        <v>—</v>
      </c>
    </row>
    <row r="578" customFormat="false" ht="15" hidden="false" customHeight="false" outlineLevel="0" collapsed="false">
      <c r="A578" s="85" t="str">
        <f aca="false">SRC_Harness!$A16&amp;""</f>
        <v>SRC_HAR_012</v>
      </c>
      <c r="B578" s="54" t="s">
        <v>6789</v>
      </c>
      <c r="C578" s="53" t="n">
        <v>16</v>
      </c>
      <c r="D578" s="85" t="str">
        <f aca="false">SRC_Harness!$O16</f>
        <v>Active</v>
      </c>
      <c r="E578" s="85" t="n">
        <f aca="false">SRC_Harness!$K16</f>
        <v>2</v>
      </c>
      <c r="F578" s="85" t="str">
        <f aca="false">SRC_Harness!$S16</f>
        <v>—</v>
      </c>
    </row>
    <row r="579" customFormat="false" ht="15" hidden="false" customHeight="false" outlineLevel="0" collapsed="false">
      <c r="A579" s="85" t="str">
        <f aca="false">SRC_Harness!$A17&amp;""</f>
        <v>SRC_HAR_013</v>
      </c>
      <c r="B579" s="54" t="s">
        <v>6789</v>
      </c>
      <c r="C579" s="53" t="n">
        <v>17</v>
      </c>
      <c r="D579" s="85" t="str">
        <f aca="false">SRC_Harness!$O17</f>
        <v>Active</v>
      </c>
      <c r="E579" s="85" t="n">
        <f aca="false">SRC_Harness!$K17</f>
        <v>2</v>
      </c>
      <c r="F579" s="85" t="str">
        <f aca="false">SRC_Harness!$S17</f>
        <v>—</v>
      </c>
    </row>
    <row r="580" customFormat="false" ht="15" hidden="false" customHeight="false" outlineLevel="0" collapsed="false">
      <c r="A580" s="85" t="str">
        <f aca="false">SRC_Harness!$A18&amp;""</f>
        <v>SRC_HAR_014</v>
      </c>
      <c r="B580" s="54" t="s">
        <v>6789</v>
      </c>
      <c r="C580" s="53" t="n">
        <v>18</v>
      </c>
      <c r="D580" s="85" t="str">
        <f aca="false">SRC_Harness!$O18</f>
        <v>Active</v>
      </c>
      <c r="E580" s="85" t="n">
        <f aca="false">SRC_Harness!$K18</f>
        <v>2</v>
      </c>
      <c r="F580" s="85" t="str">
        <f aca="false">SRC_Harness!$S18</f>
        <v>—</v>
      </c>
    </row>
    <row r="581" customFormat="false" ht="15" hidden="false" customHeight="false" outlineLevel="0" collapsed="false">
      <c r="A581" s="85" t="str">
        <f aca="false">SRC_Harness!$A19&amp;""</f>
        <v>SRC_HAR_015</v>
      </c>
      <c r="B581" s="54" t="s">
        <v>6789</v>
      </c>
      <c r="C581" s="53" t="n">
        <v>19</v>
      </c>
      <c r="D581" s="85" t="str">
        <f aca="false">SRC_Harness!$O19</f>
        <v>Active</v>
      </c>
      <c r="E581" s="85" t="n">
        <f aca="false">SRC_Harness!$K19</f>
        <v>2</v>
      </c>
      <c r="F581" s="85" t="str">
        <f aca="false">SRC_Harness!$S19</f>
        <v>—</v>
      </c>
    </row>
    <row r="582" customFormat="false" ht="15" hidden="false" customHeight="false" outlineLevel="0" collapsed="false">
      <c r="A582" s="85" t="str">
        <f aca="false">SRC_Harness!$A20&amp;""</f>
        <v/>
      </c>
      <c r="B582" s="54" t="s">
        <v>6789</v>
      </c>
      <c r="C582" s="53" t="n">
        <v>20</v>
      </c>
      <c r="D582" s="85" t="n">
        <f aca="false">SRC_Harness!$O20</f>
        <v>0</v>
      </c>
      <c r="E582" s="85" t="n">
        <f aca="false">SRC_Harness!$K20</f>
        <v>0</v>
      </c>
      <c r="F582" s="85" t="n">
        <f aca="false">SRC_Harness!$S20</f>
        <v>0</v>
      </c>
    </row>
    <row r="583" customFormat="false" ht="15" hidden="false" customHeight="false" outlineLevel="0" collapsed="false">
      <c r="A583" s="85" t="str">
        <f aca="false">SRC_Harness!$A21&amp;""</f>
        <v/>
      </c>
      <c r="B583" s="54" t="s">
        <v>6789</v>
      </c>
      <c r="C583" s="53" t="n">
        <v>21</v>
      </c>
      <c r="D583" s="85" t="n">
        <f aca="false">SRC_Harness!$O21</f>
        <v>0</v>
      </c>
      <c r="E583" s="85" t="n">
        <f aca="false">SRC_Harness!$K21</f>
        <v>0</v>
      </c>
      <c r="F583" s="85" t="n">
        <f aca="false">SRC_Harness!$S21</f>
        <v>0</v>
      </c>
    </row>
    <row r="584" customFormat="false" ht="15" hidden="false" customHeight="false" outlineLevel="0" collapsed="false">
      <c r="A584" s="85" t="str">
        <f aca="false">SRC_Harness!$A22&amp;""</f>
        <v/>
      </c>
      <c r="B584" s="54" t="s">
        <v>6789</v>
      </c>
      <c r="C584" s="53" t="n">
        <v>22</v>
      </c>
      <c r="D584" s="85" t="n">
        <f aca="false">SRC_Harness!$O22</f>
        <v>0</v>
      </c>
      <c r="E584" s="85" t="n">
        <f aca="false">SRC_Harness!$K22</f>
        <v>0</v>
      </c>
      <c r="F584" s="85" t="n">
        <f aca="false">SRC_Harness!$S22</f>
        <v>0</v>
      </c>
    </row>
    <row r="585" customFormat="false" ht="15" hidden="false" customHeight="false" outlineLevel="0" collapsed="false">
      <c r="A585" s="85" t="str">
        <f aca="false">SRC_Harness!$A23&amp;""</f>
        <v/>
      </c>
      <c r="B585" s="54" t="s">
        <v>6789</v>
      </c>
      <c r="C585" s="53" t="n">
        <v>23</v>
      </c>
      <c r="D585" s="85" t="n">
        <f aca="false">SRC_Harness!$O23</f>
        <v>0</v>
      </c>
      <c r="E585" s="85" t="n">
        <f aca="false">SRC_Harness!$K23</f>
        <v>0</v>
      </c>
      <c r="F585" s="85" t="n">
        <f aca="false">SRC_Harness!$S23</f>
        <v>0</v>
      </c>
    </row>
    <row r="586" customFormat="false" ht="15" hidden="false" customHeight="false" outlineLevel="0" collapsed="false">
      <c r="A586" s="85" t="str">
        <f aca="false">SRC_Harness!$A24&amp;""</f>
        <v/>
      </c>
      <c r="B586" s="54" t="s">
        <v>6789</v>
      </c>
      <c r="C586" s="53" t="n">
        <v>24</v>
      </c>
      <c r="D586" s="85" t="n">
        <f aca="false">SRC_Harness!$O24</f>
        <v>0</v>
      </c>
      <c r="E586" s="85" t="n">
        <f aca="false">SRC_Harness!$K24</f>
        <v>0</v>
      </c>
      <c r="F586" s="85" t="n">
        <f aca="false">SRC_Harness!$S24</f>
        <v>0</v>
      </c>
    </row>
    <row r="587" customFormat="false" ht="15" hidden="false" customHeight="false" outlineLevel="0" collapsed="false">
      <c r="A587" s="85" t="str">
        <f aca="false">SRC_Harness!$A25&amp;""</f>
        <v/>
      </c>
      <c r="B587" s="54" t="s">
        <v>6789</v>
      </c>
      <c r="C587" s="53" t="n">
        <v>25</v>
      </c>
      <c r="D587" s="85" t="n">
        <f aca="false">SRC_Harness!$O25</f>
        <v>0</v>
      </c>
      <c r="E587" s="85" t="n">
        <f aca="false">SRC_Harness!$K25</f>
        <v>0</v>
      </c>
      <c r="F587" s="85" t="n">
        <f aca="false">SRC_Harness!$S25</f>
        <v>0</v>
      </c>
    </row>
    <row r="588" customFormat="false" ht="15" hidden="false" customHeight="false" outlineLevel="0" collapsed="false">
      <c r="A588" s="85" t="str">
        <f aca="false">SRC_Harness!$A26&amp;""</f>
        <v/>
      </c>
      <c r="B588" s="54" t="s">
        <v>6789</v>
      </c>
      <c r="C588" s="53" t="n">
        <v>26</v>
      </c>
      <c r="D588" s="85" t="n">
        <f aca="false">SRC_Harness!$O26</f>
        <v>0</v>
      </c>
      <c r="E588" s="85" t="n">
        <f aca="false">SRC_Harness!$K26</f>
        <v>0</v>
      </c>
      <c r="F588" s="85" t="n">
        <f aca="false">SRC_Harness!$S26</f>
        <v>0</v>
      </c>
    </row>
    <row r="589" customFormat="false" ht="15" hidden="false" customHeight="false" outlineLevel="0" collapsed="false">
      <c r="A589" s="85" t="str">
        <f aca="false">SRC_Harness!$A27&amp;""</f>
        <v/>
      </c>
      <c r="B589" s="54" t="s">
        <v>6789</v>
      </c>
      <c r="C589" s="53" t="n">
        <v>27</v>
      </c>
      <c r="D589" s="85" t="n">
        <f aca="false">SRC_Harness!$O27</f>
        <v>0</v>
      </c>
      <c r="E589" s="85" t="n">
        <f aca="false">SRC_Harness!$K27</f>
        <v>0</v>
      </c>
      <c r="F589" s="85" t="n">
        <f aca="false">SRC_Harness!$S27</f>
        <v>0</v>
      </c>
    </row>
    <row r="590" customFormat="false" ht="15" hidden="false" customHeight="false" outlineLevel="0" collapsed="false">
      <c r="A590" s="85" t="str">
        <f aca="false">SRC_Harness!$A28&amp;""</f>
        <v/>
      </c>
      <c r="B590" s="54" t="s">
        <v>6789</v>
      </c>
      <c r="C590" s="53" t="n">
        <v>28</v>
      </c>
      <c r="D590" s="85" t="n">
        <f aca="false">SRC_Harness!$O28</f>
        <v>0</v>
      </c>
      <c r="E590" s="85" t="n">
        <f aca="false">SRC_Harness!$K28</f>
        <v>0</v>
      </c>
      <c r="F590" s="85" t="n">
        <f aca="false">SRC_Harness!$S28</f>
        <v>0</v>
      </c>
    </row>
    <row r="591" customFormat="false" ht="15" hidden="false" customHeight="false" outlineLevel="0" collapsed="false">
      <c r="A591" s="85" t="str">
        <f aca="false">SRC_Harness!$A29&amp;""</f>
        <v/>
      </c>
      <c r="B591" s="54" t="s">
        <v>6789</v>
      </c>
      <c r="C591" s="53" t="n">
        <v>29</v>
      </c>
      <c r="D591" s="85" t="n">
        <f aca="false">SRC_Harness!$O29</f>
        <v>0</v>
      </c>
      <c r="E591" s="85" t="n">
        <f aca="false">SRC_Harness!$K29</f>
        <v>0</v>
      </c>
      <c r="F591" s="85" t="n">
        <f aca="false">SRC_Harness!$S29</f>
        <v>0</v>
      </c>
    </row>
    <row r="592" customFormat="false" ht="15" hidden="false" customHeight="false" outlineLevel="0" collapsed="false">
      <c r="A592" s="85" t="str">
        <f aca="false">SRC_Harness!$A30&amp;""</f>
        <v/>
      </c>
      <c r="B592" s="54" t="s">
        <v>6789</v>
      </c>
      <c r="C592" s="53" t="n">
        <v>30</v>
      </c>
      <c r="D592" s="85" t="n">
        <f aca="false">SRC_Harness!$O30</f>
        <v>0</v>
      </c>
      <c r="E592" s="85" t="n">
        <f aca="false">SRC_Harness!$K30</f>
        <v>0</v>
      </c>
      <c r="F592" s="85" t="n">
        <f aca="false">SRC_Harness!$S30</f>
        <v>0</v>
      </c>
    </row>
    <row r="593" customFormat="false" ht="15" hidden="false" customHeight="false" outlineLevel="0" collapsed="false">
      <c r="A593" s="85" t="str">
        <f aca="false">SRC_Harness!$A31&amp;""</f>
        <v/>
      </c>
      <c r="B593" s="54" t="s">
        <v>6789</v>
      </c>
      <c r="C593" s="53" t="n">
        <v>31</v>
      </c>
      <c r="D593" s="85" t="n">
        <f aca="false">SRC_Harness!$O31</f>
        <v>0</v>
      </c>
      <c r="E593" s="85" t="n">
        <f aca="false">SRC_Harness!$K31</f>
        <v>0</v>
      </c>
      <c r="F593" s="85" t="n">
        <f aca="false">SRC_Harness!$S31</f>
        <v>0</v>
      </c>
    </row>
    <row r="594" customFormat="false" ht="15" hidden="false" customHeight="false" outlineLevel="0" collapsed="false">
      <c r="A594" s="85" t="str">
        <f aca="false">SRC_Harness!$A32&amp;""</f>
        <v/>
      </c>
      <c r="B594" s="54" t="s">
        <v>6789</v>
      </c>
      <c r="C594" s="53" t="n">
        <v>32</v>
      </c>
      <c r="D594" s="85" t="n">
        <f aca="false">SRC_Harness!$O32</f>
        <v>0</v>
      </c>
      <c r="E594" s="85" t="n">
        <f aca="false">SRC_Harness!$K32</f>
        <v>0</v>
      </c>
      <c r="F594" s="85" t="n">
        <f aca="false">SRC_Harness!$S32</f>
        <v>0</v>
      </c>
    </row>
    <row r="595" customFormat="false" ht="15" hidden="false" customHeight="false" outlineLevel="0" collapsed="false">
      <c r="A595" s="85" t="str">
        <f aca="false">SRC_Harness!$A33&amp;""</f>
        <v/>
      </c>
      <c r="B595" s="54" t="s">
        <v>6789</v>
      </c>
      <c r="C595" s="53" t="n">
        <v>33</v>
      </c>
      <c r="D595" s="85" t="n">
        <f aca="false">SRC_Harness!$O33</f>
        <v>0</v>
      </c>
      <c r="E595" s="85" t="n">
        <f aca="false">SRC_Harness!$K33</f>
        <v>0</v>
      </c>
      <c r="F595" s="85" t="n">
        <f aca="false">SRC_Harness!$S33</f>
        <v>0</v>
      </c>
    </row>
    <row r="596" customFormat="false" ht="15" hidden="false" customHeight="false" outlineLevel="0" collapsed="false">
      <c r="A596" s="85" t="str">
        <f aca="false">SRC_Harness!$A34&amp;""</f>
        <v/>
      </c>
      <c r="B596" s="54" t="s">
        <v>6789</v>
      </c>
      <c r="C596" s="53" t="n">
        <v>34</v>
      </c>
      <c r="D596" s="85" t="n">
        <f aca="false">SRC_Harness!$O34</f>
        <v>0</v>
      </c>
      <c r="E596" s="85" t="n">
        <f aca="false">SRC_Harness!$K34</f>
        <v>0</v>
      </c>
      <c r="F596" s="85" t="n">
        <f aca="false">SRC_Harness!$S34</f>
        <v>0</v>
      </c>
    </row>
    <row r="597" customFormat="false" ht="15" hidden="false" customHeight="false" outlineLevel="0" collapsed="false">
      <c r="A597" s="85" t="str">
        <f aca="false">SRC_Harness!$A35&amp;""</f>
        <v/>
      </c>
      <c r="B597" s="54" t="s">
        <v>6789</v>
      </c>
      <c r="C597" s="53" t="n">
        <v>35</v>
      </c>
      <c r="D597" s="85" t="n">
        <f aca="false">SRC_Harness!$O35</f>
        <v>0</v>
      </c>
      <c r="E597" s="85" t="n">
        <f aca="false">SRC_Harness!$K35</f>
        <v>0</v>
      </c>
      <c r="F597" s="85" t="n">
        <f aca="false">SRC_Harness!$S35</f>
        <v>0</v>
      </c>
    </row>
    <row r="598" customFormat="false" ht="15" hidden="false" customHeight="false" outlineLevel="0" collapsed="false">
      <c r="A598" s="85" t="str">
        <f aca="false">SRC_Harness!$A36&amp;""</f>
        <v/>
      </c>
      <c r="B598" s="54" t="s">
        <v>6789</v>
      </c>
      <c r="C598" s="53" t="n">
        <v>36</v>
      </c>
      <c r="D598" s="85" t="n">
        <f aca="false">SRC_Harness!$O36</f>
        <v>0</v>
      </c>
      <c r="E598" s="85" t="n">
        <f aca="false">SRC_Harness!$K36</f>
        <v>0</v>
      </c>
      <c r="F598" s="85" t="n">
        <f aca="false">SRC_Harness!$S36</f>
        <v>0</v>
      </c>
    </row>
    <row r="599" customFormat="false" ht="15" hidden="false" customHeight="false" outlineLevel="0" collapsed="false">
      <c r="A599" s="85" t="str">
        <f aca="false">SRC_Harness!$A37&amp;""</f>
        <v/>
      </c>
      <c r="B599" s="54" t="s">
        <v>6789</v>
      </c>
      <c r="C599" s="53" t="n">
        <v>37</v>
      </c>
      <c r="D599" s="85" t="n">
        <f aca="false">SRC_Harness!$O37</f>
        <v>0</v>
      </c>
      <c r="E599" s="85" t="n">
        <f aca="false">SRC_Harness!$K37</f>
        <v>0</v>
      </c>
      <c r="F599" s="85" t="n">
        <f aca="false">SRC_Harness!$S37</f>
        <v>0</v>
      </c>
    </row>
    <row r="600" customFormat="false" ht="15" hidden="false" customHeight="false" outlineLevel="0" collapsed="false">
      <c r="A600" s="85" t="str">
        <f aca="false">SRC_Harness!$A38&amp;""</f>
        <v/>
      </c>
      <c r="B600" s="54" t="s">
        <v>6789</v>
      </c>
      <c r="C600" s="53" t="n">
        <v>38</v>
      </c>
      <c r="D600" s="85" t="n">
        <f aca="false">SRC_Harness!$O38</f>
        <v>0</v>
      </c>
      <c r="E600" s="85" t="n">
        <f aca="false">SRC_Harness!$K38</f>
        <v>0</v>
      </c>
      <c r="F600" s="85" t="n">
        <f aca="false">SRC_Harness!$S38</f>
        <v>0</v>
      </c>
    </row>
    <row r="601" customFormat="false" ht="15" hidden="false" customHeight="false" outlineLevel="0" collapsed="false">
      <c r="A601" s="85" t="str">
        <f aca="false">SRC_Harness!$A39&amp;""</f>
        <v/>
      </c>
      <c r="B601" s="54" t="s">
        <v>6789</v>
      </c>
      <c r="C601" s="53" t="n">
        <v>39</v>
      </c>
      <c r="D601" s="85" t="n">
        <f aca="false">SRC_Harness!$O39</f>
        <v>0</v>
      </c>
      <c r="E601" s="85" t="n">
        <f aca="false">SRC_Harness!$K39</f>
        <v>0</v>
      </c>
      <c r="F601" s="85" t="n">
        <f aca="false">SRC_Harness!$S39</f>
        <v>0</v>
      </c>
    </row>
    <row r="602" customFormat="false" ht="15" hidden="false" customHeight="false" outlineLevel="0" collapsed="false">
      <c r="A602" s="85" t="str">
        <f aca="false">SRC_Harness!$A40&amp;""</f>
        <v/>
      </c>
      <c r="B602" s="54" t="s">
        <v>6789</v>
      </c>
      <c r="C602" s="53" t="n">
        <v>40</v>
      </c>
      <c r="D602" s="85" t="n">
        <f aca="false">SRC_Harness!$O40</f>
        <v>0</v>
      </c>
      <c r="E602" s="85" t="n">
        <f aca="false">SRC_Harness!$K40</f>
        <v>0</v>
      </c>
      <c r="F602" s="85" t="n">
        <f aca="false">SRC_Harness!$S40</f>
        <v>0</v>
      </c>
    </row>
    <row r="603" customFormat="false" ht="15" hidden="false" customHeight="false" outlineLevel="0" collapsed="false">
      <c r="A603" s="85" t="str">
        <f aca="false">SRC_Harness!$A41&amp;""</f>
        <v/>
      </c>
      <c r="B603" s="54" t="s">
        <v>6789</v>
      </c>
      <c r="C603" s="53" t="n">
        <v>41</v>
      </c>
      <c r="D603" s="85" t="n">
        <f aca="false">SRC_Harness!$O41</f>
        <v>0</v>
      </c>
      <c r="E603" s="85" t="n">
        <f aca="false">SRC_Harness!$K41</f>
        <v>0</v>
      </c>
      <c r="F603" s="85" t="n">
        <f aca="false">SRC_Harness!$S41</f>
        <v>0</v>
      </c>
    </row>
    <row r="604" customFormat="false" ht="15" hidden="false" customHeight="false" outlineLevel="0" collapsed="false">
      <c r="A604" s="85" t="str">
        <f aca="false">SRC_Harness!$A42&amp;""</f>
        <v/>
      </c>
      <c r="B604" s="54" t="s">
        <v>6789</v>
      </c>
      <c r="C604" s="53" t="n">
        <v>42</v>
      </c>
      <c r="D604" s="85" t="n">
        <f aca="false">SRC_Harness!$O42</f>
        <v>0</v>
      </c>
      <c r="E604" s="85" t="n">
        <f aca="false">SRC_Harness!$K42</f>
        <v>0</v>
      </c>
      <c r="F604" s="85" t="n">
        <f aca="false">SRC_Harness!$S42</f>
        <v>0</v>
      </c>
    </row>
    <row r="605" customFormat="false" ht="15" hidden="false" customHeight="false" outlineLevel="0" collapsed="false">
      <c r="A605" s="85" t="str">
        <f aca="false">SRC_Harness!$A43&amp;""</f>
        <v/>
      </c>
      <c r="B605" s="54" t="s">
        <v>6789</v>
      </c>
      <c r="C605" s="53" t="n">
        <v>43</v>
      </c>
      <c r="D605" s="85" t="n">
        <f aca="false">SRC_Harness!$O43</f>
        <v>0</v>
      </c>
      <c r="E605" s="85" t="n">
        <f aca="false">SRC_Harness!$K43</f>
        <v>0</v>
      </c>
      <c r="F605" s="85" t="n">
        <f aca="false">SRC_Harness!$S43</f>
        <v>0</v>
      </c>
    </row>
    <row r="606" customFormat="false" ht="15" hidden="false" customHeight="false" outlineLevel="0" collapsed="false">
      <c r="A606" s="85" t="str">
        <f aca="false">SRC_Harness!$A44&amp;""</f>
        <v/>
      </c>
      <c r="B606" s="54" t="s">
        <v>6789</v>
      </c>
      <c r="C606" s="53" t="n">
        <v>44</v>
      </c>
      <c r="D606" s="85" t="n">
        <f aca="false">SRC_Harness!$O44</f>
        <v>0</v>
      </c>
      <c r="E606" s="85" t="n">
        <f aca="false">SRC_Harness!$K44</f>
        <v>0</v>
      </c>
      <c r="F606" s="85" t="n">
        <f aca="false">SRC_Harness!$S44</f>
        <v>0</v>
      </c>
    </row>
    <row r="607" customFormat="false" ht="15" hidden="false" customHeight="false" outlineLevel="0" collapsed="false">
      <c r="A607" s="85" t="str">
        <f aca="false">SRC_Harness!$A45&amp;""</f>
        <v/>
      </c>
      <c r="B607" s="54" t="s">
        <v>6789</v>
      </c>
      <c r="C607" s="53" t="n">
        <v>45</v>
      </c>
      <c r="D607" s="85" t="n">
        <f aca="false">SRC_Harness!$O45</f>
        <v>0</v>
      </c>
      <c r="E607" s="85" t="n">
        <f aca="false">SRC_Harness!$K45</f>
        <v>0</v>
      </c>
      <c r="F607" s="85" t="n">
        <f aca="false">SRC_Harness!$S45</f>
        <v>0</v>
      </c>
    </row>
    <row r="608" customFormat="false" ht="15" hidden="false" customHeight="false" outlineLevel="0" collapsed="false">
      <c r="A608" s="85" t="str">
        <f aca="false">SRC_Harness!$A46&amp;""</f>
        <v/>
      </c>
      <c r="B608" s="54" t="s">
        <v>6789</v>
      </c>
      <c r="C608" s="53" t="n">
        <v>46</v>
      </c>
      <c r="D608" s="85" t="n">
        <f aca="false">SRC_Harness!$O46</f>
        <v>0</v>
      </c>
      <c r="E608" s="85" t="n">
        <f aca="false">SRC_Harness!$K46</f>
        <v>0</v>
      </c>
      <c r="F608" s="85" t="n">
        <f aca="false">SRC_Harness!$S46</f>
        <v>0</v>
      </c>
    </row>
    <row r="609" customFormat="false" ht="15" hidden="false" customHeight="false" outlineLevel="0" collapsed="false">
      <c r="A609" s="85" t="str">
        <f aca="false">SRC_Harness!$A47&amp;""</f>
        <v/>
      </c>
      <c r="B609" s="54" t="s">
        <v>6789</v>
      </c>
      <c r="C609" s="53" t="n">
        <v>47</v>
      </c>
      <c r="D609" s="85" t="n">
        <f aca="false">SRC_Harness!$O47</f>
        <v>0</v>
      </c>
      <c r="E609" s="85" t="n">
        <f aca="false">SRC_Harness!$K47</f>
        <v>0</v>
      </c>
      <c r="F609" s="85" t="n">
        <f aca="false">SRC_Harness!$S47</f>
        <v>0</v>
      </c>
    </row>
    <row r="610" customFormat="false" ht="15" hidden="false" customHeight="false" outlineLevel="0" collapsed="false">
      <c r="A610" s="85" t="str">
        <f aca="false">SRC_Harness!$A48&amp;""</f>
        <v/>
      </c>
      <c r="B610" s="54" t="s">
        <v>6789</v>
      </c>
      <c r="C610" s="53" t="n">
        <v>48</v>
      </c>
      <c r="D610" s="85" t="n">
        <f aca="false">SRC_Harness!$O48</f>
        <v>0</v>
      </c>
      <c r="E610" s="85" t="n">
        <f aca="false">SRC_Harness!$K48</f>
        <v>0</v>
      </c>
      <c r="F610" s="85" t="n">
        <f aca="false">SRC_Harness!$S48</f>
        <v>0</v>
      </c>
    </row>
    <row r="611" customFormat="false" ht="15" hidden="false" customHeight="false" outlineLevel="0" collapsed="false">
      <c r="A611" s="85" t="str">
        <f aca="false">SRC_Harness!$A49&amp;""</f>
        <v/>
      </c>
      <c r="B611" s="54" t="s">
        <v>6789</v>
      </c>
      <c r="C611" s="53" t="n">
        <v>49</v>
      </c>
      <c r="D611" s="85" t="n">
        <f aca="false">SRC_Harness!$O49</f>
        <v>0</v>
      </c>
      <c r="E611" s="85" t="n">
        <f aca="false">SRC_Harness!$K49</f>
        <v>0</v>
      </c>
      <c r="F611" s="85" t="n">
        <f aca="false">SRC_Harness!$S49</f>
        <v>0</v>
      </c>
    </row>
    <row r="612" customFormat="false" ht="15" hidden="false" customHeight="false" outlineLevel="0" collapsed="false">
      <c r="A612" s="85" t="str">
        <f aca="false">SRC_Harness!$A50&amp;""</f>
        <v/>
      </c>
      <c r="B612" s="54" t="s">
        <v>6789</v>
      </c>
      <c r="C612" s="53" t="n">
        <v>50</v>
      </c>
      <c r="D612" s="85" t="n">
        <f aca="false">SRC_Harness!$O50</f>
        <v>0</v>
      </c>
      <c r="E612" s="85" t="n">
        <f aca="false">SRC_Harness!$K50</f>
        <v>0</v>
      </c>
      <c r="F612" s="85" t="n">
        <f aca="false">SRC_Harness!$S50</f>
        <v>0</v>
      </c>
    </row>
    <row r="613" customFormat="false" ht="15" hidden="false" customHeight="false" outlineLevel="0" collapsed="false">
      <c r="A613" s="85" t="str">
        <f aca="false">SRC_Harness!$A51&amp;""</f>
        <v/>
      </c>
      <c r="B613" s="54" t="s">
        <v>6789</v>
      </c>
      <c r="C613" s="53" t="n">
        <v>51</v>
      </c>
      <c r="D613" s="85" t="n">
        <f aca="false">SRC_Harness!$O51</f>
        <v>0</v>
      </c>
      <c r="E613" s="85" t="n">
        <f aca="false">SRC_Harness!$K51</f>
        <v>0</v>
      </c>
      <c r="F613" s="85" t="n">
        <f aca="false">SRC_Harness!$S51</f>
        <v>0</v>
      </c>
    </row>
    <row r="614" customFormat="false" ht="15" hidden="false" customHeight="false" outlineLevel="0" collapsed="false">
      <c r="A614" s="85" t="str">
        <f aca="false">SRC_Harness!$A52&amp;""</f>
        <v/>
      </c>
      <c r="B614" s="54" t="s">
        <v>6789</v>
      </c>
      <c r="C614" s="53" t="n">
        <v>52</v>
      </c>
      <c r="D614" s="85" t="n">
        <f aca="false">SRC_Harness!$O52</f>
        <v>0</v>
      </c>
      <c r="E614" s="85" t="n">
        <f aca="false">SRC_Harness!$K52</f>
        <v>0</v>
      </c>
      <c r="F614" s="85" t="n">
        <f aca="false">SRC_Harness!$S52</f>
        <v>0</v>
      </c>
    </row>
    <row r="615" customFormat="false" ht="15" hidden="false" customHeight="false" outlineLevel="0" collapsed="false">
      <c r="A615" s="85" t="str">
        <f aca="false">SRC_Harness!$A53&amp;""</f>
        <v/>
      </c>
      <c r="B615" s="54" t="s">
        <v>6789</v>
      </c>
      <c r="C615" s="53" t="n">
        <v>53</v>
      </c>
      <c r="D615" s="85" t="n">
        <f aca="false">SRC_Harness!$O53</f>
        <v>0</v>
      </c>
      <c r="E615" s="85" t="n">
        <f aca="false">SRC_Harness!$K53</f>
        <v>0</v>
      </c>
      <c r="F615" s="85" t="n">
        <f aca="false">SRC_Harness!$S53</f>
        <v>0</v>
      </c>
    </row>
    <row r="616" customFormat="false" ht="15" hidden="false" customHeight="false" outlineLevel="0" collapsed="false">
      <c r="A616" s="85" t="str">
        <f aca="false">SRC_Harness!$A54&amp;""</f>
        <v/>
      </c>
      <c r="B616" s="54" t="s">
        <v>6789</v>
      </c>
      <c r="C616" s="53" t="n">
        <v>54</v>
      </c>
      <c r="D616" s="85" t="n">
        <f aca="false">SRC_Harness!$O54</f>
        <v>0</v>
      </c>
      <c r="E616" s="85" t="n">
        <f aca="false">SRC_Harness!$K54</f>
        <v>0</v>
      </c>
      <c r="F616" s="85" t="n">
        <f aca="false">SRC_Harness!$S54</f>
        <v>0</v>
      </c>
    </row>
    <row r="617" customFormat="false" ht="15" hidden="false" customHeight="false" outlineLevel="0" collapsed="false">
      <c r="A617" s="85" t="str">
        <f aca="false">SRC_Harness!$A55&amp;""</f>
        <v/>
      </c>
      <c r="B617" s="54" t="s">
        <v>6789</v>
      </c>
      <c r="C617" s="53" t="n">
        <v>55</v>
      </c>
      <c r="D617" s="85" t="n">
        <f aca="false">SRC_Harness!$O55</f>
        <v>0</v>
      </c>
      <c r="E617" s="85" t="n">
        <f aca="false">SRC_Harness!$K55</f>
        <v>0</v>
      </c>
      <c r="F617" s="85" t="n">
        <f aca="false">SRC_Harness!$S55</f>
        <v>0</v>
      </c>
    </row>
    <row r="618" customFormat="false" ht="15" hidden="false" customHeight="false" outlineLevel="0" collapsed="false">
      <c r="A618" s="85" t="str">
        <f aca="false">SRC_Harness!$A56&amp;""</f>
        <v/>
      </c>
      <c r="B618" s="54" t="s">
        <v>6789</v>
      </c>
      <c r="C618" s="53" t="n">
        <v>56</v>
      </c>
      <c r="D618" s="85" t="n">
        <f aca="false">SRC_Harness!$O56</f>
        <v>0</v>
      </c>
      <c r="E618" s="85" t="n">
        <f aca="false">SRC_Harness!$K56</f>
        <v>0</v>
      </c>
      <c r="F618" s="85" t="n">
        <f aca="false">SRC_Harness!$S56</f>
        <v>0</v>
      </c>
    </row>
    <row r="619" customFormat="false" ht="15" hidden="false" customHeight="false" outlineLevel="0" collapsed="false">
      <c r="A619" s="85" t="str">
        <f aca="false">SRC_Harness!$A57&amp;""</f>
        <v/>
      </c>
      <c r="B619" s="54" t="s">
        <v>6789</v>
      </c>
      <c r="C619" s="53" t="n">
        <v>57</v>
      </c>
      <c r="D619" s="85" t="n">
        <f aca="false">SRC_Harness!$O57</f>
        <v>0</v>
      </c>
      <c r="E619" s="85" t="n">
        <f aca="false">SRC_Harness!$K57</f>
        <v>0</v>
      </c>
      <c r="F619" s="85" t="n">
        <f aca="false">SRC_Harness!$S57</f>
        <v>0</v>
      </c>
    </row>
    <row r="620" customFormat="false" ht="15" hidden="false" customHeight="false" outlineLevel="0" collapsed="false">
      <c r="A620" s="85" t="str">
        <f aca="false">SRC_Harness!$A58&amp;""</f>
        <v/>
      </c>
      <c r="B620" s="54" t="s">
        <v>6789</v>
      </c>
      <c r="C620" s="53" t="n">
        <v>58</v>
      </c>
      <c r="D620" s="85" t="n">
        <f aca="false">SRC_Harness!$O58</f>
        <v>0</v>
      </c>
      <c r="E620" s="85" t="n">
        <f aca="false">SRC_Harness!$K58</f>
        <v>0</v>
      </c>
      <c r="F620" s="85" t="n">
        <f aca="false">SRC_Harness!$S58</f>
        <v>0</v>
      </c>
    </row>
    <row r="621" customFormat="false" ht="15" hidden="false" customHeight="false" outlineLevel="0" collapsed="false">
      <c r="A621" s="85" t="str">
        <f aca="false">SRC_Harness!$A59&amp;""</f>
        <v/>
      </c>
      <c r="B621" s="54" t="s">
        <v>6789</v>
      </c>
      <c r="C621" s="53" t="n">
        <v>59</v>
      </c>
      <c r="D621" s="85" t="n">
        <f aca="false">SRC_Harness!$O59</f>
        <v>0</v>
      </c>
      <c r="E621" s="85" t="n">
        <f aca="false">SRC_Harness!$K59</f>
        <v>0</v>
      </c>
      <c r="F621" s="85" t="n">
        <f aca="false">SRC_Harness!$S59</f>
        <v>0</v>
      </c>
    </row>
    <row r="622" customFormat="false" ht="15" hidden="false" customHeight="false" outlineLevel="0" collapsed="false">
      <c r="A622" s="85" t="str">
        <f aca="false">SRC_Harness!$A60&amp;""</f>
        <v/>
      </c>
      <c r="B622" s="54" t="s">
        <v>6789</v>
      </c>
      <c r="C622" s="53" t="n">
        <v>60</v>
      </c>
      <c r="D622" s="85" t="n">
        <f aca="false">SRC_Harness!$O60</f>
        <v>0</v>
      </c>
      <c r="E622" s="85" t="n">
        <f aca="false">SRC_Harness!$K60</f>
        <v>0</v>
      </c>
      <c r="F622" s="85" t="n">
        <f aca="false">SRC_Harness!$S60</f>
        <v>0</v>
      </c>
    </row>
    <row r="623" customFormat="false" ht="15" hidden="false" customHeight="false" outlineLevel="0" collapsed="false">
      <c r="A623" s="85" t="str">
        <f aca="false">SRC_Harness!$A61&amp;""</f>
        <v/>
      </c>
      <c r="B623" s="54" t="s">
        <v>6789</v>
      </c>
      <c r="C623" s="53" t="n">
        <v>61</v>
      </c>
      <c r="D623" s="85" t="n">
        <f aca="false">SRC_Harness!$O61</f>
        <v>0</v>
      </c>
      <c r="E623" s="85" t="n">
        <f aca="false">SRC_Harness!$K61</f>
        <v>0</v>
      </c>
      <c r="F623" s="85" t="n">
        <f aca="false">SRC_Harness!$S61</f>
        <v>0</v>
      </c>
    </row>
    <row r="624" customFormat="false" ht="15" hidden="false" customHeight="false" outlineLevel="0" collapsed="false">
      <c r="A624" s="85" t="str">
        <f aca="false">SRC_Harness!$A62&amp;""</f>
        <v/>
      </c>
      <c r="B624" s="54" t="s">
        <v>6789</v>
      </c>
      <c r="C624" s="53" t="n">
        <v>62</v>
      </c>
      <c r="D624" s="85" t="n">
        <f aca="false">SRC_Harness!$O62</f>
        <v>0</v>
      </c>
      <c r="E624" s="85" t="n">
        <f aca="false">SRC_Harness!$K62</f>
        <v>0</v>
      </c>
      <c r="F624" s="85" t="n">
        <f aca="false">SRC_Harness!$S62</f>
        <v>0</v>
      </c>
    </row>
    <row r="625" customFormat="false" ht="15" hidden="false" customHeight="false" outlineLevel="0" collapsed="false">
      <c r="A625" s="85" t="str">
        <f aca="false">SRC_Harness!$A63&amp;""</f>
        <v/>
      </c>
      <c r="B625" s="54" t="s">
        <v>6789</v>
      </c>
      <c r="C625" s="53" t="n">
        <v>63</v>
      </c>
      <c r="D625" s="85" t="n">
        <f aca="false">SRC_Harness!$O63</f>
        <v>0</v>
      </c>
      <c r="E625" s="85" t="n">
        <f aca="false">SRC_Harness!$K63</f>
        <v>0</v>
      </c>
      <c r="F625" s="85" t="n">
        <f aca="false">SRC_Harness!$S63</f>
        <v>0</v>
      </c>
    </row>
    <row r="626" customFormat="false" ht="15" hidden="false" customHeight="false" outlineLevel="0" collapsed="false">
      <c r="A626" s="85" t="str">
        <f aca="false">SRC_Harness!$A64&amp;""</f>
        <v/>
      </c>
      <c r="B626" s="54" t="s">
        <v>6789</v>
      </c>
      <c r="C626" s="53" t="n">
        <v>64</v>
      </c>
      <c r="D626" s="85" t="n">
        <f aca="false">SRC_Harness!$O64</f>
        <v>0</v>
      </c>
      <c r="E626" s="85" t="n">
        <f aca="false">SRC_Harness!$K64</f>
        <v>0</v>
      </c>
      <c r="F626" s="85" t="n">
        <f aca="false">SRC_Harness!$S64</f>
        <v>0</v>
      </c>
    </row>
    <row r="627" customFormat="false" ht="15" hidden="false" customHeight="false" outlineLevel="0" collapsed="false">
      <c r="A627" s="85" t="str">
        <f aca="false">SRC_Harness!$A65&amp;""</f>
        <v/>
      </c>
      <c r="B627" s="54" t="s">
        <v>6789</v>
      </c>
      <c r="C627" s="53" t="n">
        <v>65</v>
      </c>
      <c r="D627" s="85" t="n">
        <f aca="false">SRC_Harness!$O65</f>
        <v>0</v>
      </c>
      <c r="E627" s="85" t="n">
        <f aca="false">SRC_Harness!$K65</f>
        <v>0</v>
      </c>
      <c r="F627" s="85" t="n">
        <f aca="false">SRC_Harness!$S65</f>
        <v>0</v>
      </c>
    </row>
    <row r="628" customFormat="false" ht="15" hidden="false" customHeight="false" outlineLevel="0" collapsed="false">
      <c r="A628" s="85" t="str">
        <f aca="false">SRC_Harness!$A66&amp;""</f>
        <v/>
      </c>
      <c r="B628" s="54" t="s">
        <v>6789</v>
      </c>
      <c r="C628" s="53" t="n">
        <v>66</v>
      </c>
      <c r="D628" s="85" t="n">
        <f aca="false">SRC_Harness!$O66</f>
        <v>0</v>
      </c>
      <c r="E628" s="85" t="n">
        <f aca="false">SRC_Harness!$K66</f>
        <v>0</v>
      </c>
      <c r="F628" s="85" t="n">
        <f aca="false">SRC_Harness!$S66</f>
        <v>0</v>
      </c>
    </row>
    <row r="629" customFormat="false" ht="15" hidden="false" customHeight="false" outlineLevel="0" collapsed="false">
      <c r="A629" s="85" t="str">
        <f aca="false">SRC_Harness!$A67&amp;""</f>
        <v/>
      </c>
      <c r="B629" s="54" t="s">
        <v>6789</v>
      </c>
      <c r="C629" s="53" t="n">
        <v>67</v>
      </c>
      <c r="D629" s="85" t="n">
        <f aca="false">SRC_Harness!$O67</f>
        <v>0</v>
      </c>
      <c r="E629" s="85" t="n">
        <f aca="false">SRC_Harness!$K67</f>
        <v>0</v>
      </c>
      <c r="F629" s="85" t="n">
        <f aca="false">SRC_Harness!$S67</f>
        <v>0</v>
      </c>
    </row>
    <row r="630" customFormat="false" ht="15" hidden="false" customHeight="false" outlineLevel="0" collapsed="false">
      <c r="A630" s="85" t="str">
        <f aca="false">SRC_Harness!$A68&amp;""</f>
        <v/>
      </c>
      <c r="B630" s="54" t="s">
        <v>6789</v>
      </c>
      <c r="C630" s="53" t="n">
        <v>68</v>
      </c>
      <c r="D630" s="85" t="n">
        <f aca="false">SRC_Harness!$O68</f>
        <v>0</v>
      </c>
      <c r="E630" s="85" t="n">
        <f aca="false">SRC_Harness!$K68</f>
        <v>0</v>
      </c>
      <c r="F630" s="85" t="n">
        <f aca="false">SRC_Harness!$S68</f>
        <v>0</v>
      </c>
    </row>
    <row r="631" customFormat="false" ht="15" hidden="false" customHeight="false" outlineLevel="0" collapsed="false">
      <c r="A631" s="85" t="str">
        <f aca="false">SRC_Harness!$A69&amp;""</f>
        <v/>
      </c>
      <c r="B631" s="54" t="s">
        <v>6789</v>
      </c>
      <c r="C631" s="53" t="n">
        <v>69</v>
      </c>
      <c r="D631" s="85" t="n">
        <f aca="false">SRC_Harness!$O69</f>
        <v>0</v>
      </c>
      <c r="E631" s="85" t="n">
        <f aca="false">SRC_Harness!$K69</f>
        <v>0</v>
      </c>
      <c r="F631" s="85" t="n">
        <f aca="false">SRC_Harness!$S69</f>
        <v>0</v>
      </c>
    </row>
    <row r="632" customFormat="false" ht="15" hidden="false" customHeight="false" outlineLevel="0" collapsed="false">
      <c r="A632" s="85" t="str">
        <f aca="false">SRC_Demand!$A5&amp;""</f>
        <v>SRC_DEM_001</v>
      </c>
      <c r="B632" s="54" t="s">
        <v>6790</v>
      </c>
      <c r="C632" s="53" t="n">
        <v>5</v>
      </c>
      <c r="D632" s="85" t="str">
        <f aca="false">SRC_Demand!$O5</f>
        <v>Active</v>
      </c>
      <c r="E632" s="85" t="n">
        <f aca="false">SRC_Demand!$K5</f>
        <v>1</v>
      </c>
      <c r="F632" s="85" t="str">
        <f aca="false">SRC_Demand!$S5</f>
        <v>—</v>
      </c>
    </row>
    <row r="633" customFormat="false" ht="15" hidden="false" customHeight="false" outlineLevel="0" collapsed="false">
      <c r="A633" s="85" t="str">
        <f aca="false">SRC_Demand!$A6&amp;""</f>
        <v>SRC_DEM_002</v>
      </c>
      <c r="B633" s="54" t="s">
        <v>6790</v>
      </c>
      <c r="C633" s="53" t="n">
        <v>6</v>
      </c>
      <c r="D633" s="85" t="str">
        <f aca="false">SRC_Demand!$O6</f>
        <v>Active</v>
      </c>
      <c r="E633" s="85" t="n">
        <f aca="false">SRC_Demand!$K6</f>
        <v>1</v>
      </c>
      <c r="F633" s="85" t="str">
        <f aca="false">SRC_Demand!$S6</f>
        <v>—</v>
      </c>
    </row>
    <row r="634" customFormat="false" ht="15" hidden="false" customHeight="false" outlineLevel="0" collapsed="false">
      <c r="A634" s="85" t="str">
        <f aca="false">SRC_Demand!$A7&amp;""</f>
        <v>SRC_DEM_003</v>
      </c>
      <c r="B634" s="54" t="s">
        <v>6790</v>
      </c>
      <c r="C634" s="53" t="n">
        <v>7</v>
      </c>
      <c r="D634" s="85" t="str">
        <f aca="false">SRC_Demand!$O7</f>
        <v>Active</v>
      </c>
      <c r="E634" s="85" t="n">
        <f aca="false">SRC_Demand!$K7</f>
        <v>1</v>
      </c>
      <c r="F634" s="85" t="str">
        <f aca="false">SRC_Demand!$S7</f>
        <v>—</v>
      </c>
    </row>
    <row r="635" customFormat="false" ht="15" hidden="false" customHeight="false" outlineLevel="0" collapsed="false">
      <c r="A635" s="85" t="str">
        <f aca="false">SRC_Demand!$A8&amp;""</f>
        <v>SRC_DEM_004</v>
      </c>
      <c r="B635" s="54" t="s">
        <v>6790</v>
      </c>
      <c r="C635" s="53" t="n">
        <v>8</v>
      </c>
      <c r="D635" s="85" t="str">
        <f aca="false">SRC_Demand!$O8</f>
        <v>Superseded</v>
      </c>
      <c r="E635" s="85" t="n">
        <f aca="false">SRC_Demand!$K8</f>
        <v>2</v>
      </c>
      <c r="F635" s="85" t="str">
        <f aca="false">SRC_Demand!$S8</f>
        <v>—</v>
      </c>
    </row>
    <row r="636" customFormat="false" ht="15" hidden="false" customHeight="false" outlineLevel="0" collapsed="false">
      <c r="A636" s="85" t="str">
        <f aca="false">SRC_Demand!$A9&amp;""</f>
        <v>SRC_DEM_005</v>
      </c>
      <c r="B636" s="54" t="s">
        <v>6790</v>
      </c>
      <c r="C636" s="53" t="n">
        <v>9</v>
      </c>
      <c r="D636" s="85" t="str">
        <f aca="false">SRC_Demand!$O9</f>
        <v>Active</v>
      </c>
      <c r="E636" s="85" t="n">
        <f aca="false">SRC_Demand!$K9</f>
        <v>2</v>
      </c>
      <c r="F636" s="85" t="str">
        <f aca="false">SRC_Demand!$S9</f>
        <v>—</v>
      </c>
    </row>
    <row r="637" customFormat="false" ht="15" hidden="false" customHeight="false" outlineLevel="0" collapsed="false">
      <c r="A637" s="85" t="str">
        <f aca="false">SRC_Demand!$A10&amp;""</f>
        <v>SRC_DEM_006</v>
      </c>
      <c r="B637" s="54" t="s">
        <v>6790</v>
      </c>
      <c r="C637" s="53" t="n">
        <v>10</v>
      </c>
      <c r="D637" s="85" t="str">
        <f aca="false">SRC_Demand!$O10</f>
        <v>Active</v>
      </c>
      <c r="E637" s="85" t="n">
        <f aca="false">SRC_Demand!$K10</f>
        <v>2</v>
      </c>
      <c r="F637" s="85" t="str">
        <f aca="false">SRC_Demand!$S10</f>
        <v>—</v>
      </c>
    </row>
    <row r="638" customFormat="false" ht="15" hidden="false" customHeight="false" outlineLevel="0" collapsed="false">
      <c r="A638" s="85" t="str">
        <f aca="false">SRC_Demand!$A11&amp;""</f>
        <v>SRC_DEM_007</v>
      </c>
      <c r="B638" s="54" t="s">
        <v>6790</v>
      </c>
      <c r="C638" s="53" t="n">
        <v>11</v>
      </c>
      <c r="D638" s="85" t="str">
        <f aca="false">SRC_Demand!$O11</f>
        <v>Active</v>
      </c>
      <c r="E638" s="85" t="n">
        <f aca="false">SRC_Demand!$K11</f>
        <v>2</v>
      </c>
      <c r="F638" s="85" t="str">
        <f aca="false">SRC_Demand!$S11</f>
        <v>—</v>
      </c>
    </row>
    <row r="639" customFormat="false" ht="15" hidden="false" customHeight="false" outlineLevel="0" collapsed="false">
      <c r="A639" s="85" t="str">
        <f aca="false">SRC_Demand!$A12&amp;""</f>
        <v>SRC_DEM_008</v>
      </c>
      <c r="B639" s="54" t="s">
        <v>6790</v>
      </c>
      <c r="C639" s="53" t="n">
        <v>12</v>
      </c>
      <c r="D639" s="85" t="str">
        <f aca="false">SRC_Demand!$O12</f>
        <v>Active</v>
      </c>
      <c r="E639" s="85" t="n">
        <f aca="false">SRC_Demand!$K12</f>
        <v>2</v>
      </c>
      <c r="F639" s="85" t="str">
        <f aca="false">SRC_Demand!$S12</f>
        <v>—</v>
      </c>
    </row>
    <row r="640" customFormat="false" ht="15" hidden="false" customHeight="false" outlineLevel="0" collapsed="false">
      <c r="A640" s="85" t="str">
        <f aca="false">SRC_Demand!$A13&amp;""</f>
        <v>SRC_DEM_009</v>
      </c>
      <c r="B640" s="54" t="s">
        <v>6790</v>
      </c>
      <c r="C640" s="53" t="n">
        <v>13</v>
      </c>
      <c r="D640" s="85" t="str">
        <f aca="false">SRC_Demand!$O13</f>
        <v>Active</v>
      </c>
      <c r="E640" s="85" t="n">
        <f aca="false">SRC_Demand!$K13</f>
        <v>2</v>
      </c>
      <c r="F640" s="85" t="str">
        <f aca="false">SRC_Demand!$S13</f>
        <v>—</v>
      </c>
    </row>
    <row r="641" customFormat="false" ht="15" hidden="false" customHeight="false" outlineLevel="0" collapsed="false">
      <c r="A641" s="85" t="str">
        <f aca="false">SRC_Demand!$A14&amp;""</f>
        <v>SRC_DEM_010</v>
      </c>
      <c r="B641" s="54" t="s">
        <v>6790</v>
      </c>
      <c r="C641" s="53" t="n">
        <v>14</v>
      </c>
      <c r="D641" s="85" t="str">
        <f aca="false">SRC_Demand!$O14</f>
        <v>Active</v>
      </c>
      <c r="E641" s="85" t="n">
        <f aca="false">SRC_Demand!$K14</f>
        <v>2</v>
      </c>
      <c r="F641" s="85" t="str">
        <f aca="false">SRC_Demand!$S14</f>
        <v>—</v>
      </c>
    </row>
    <row r="642" customFormat="false" ht="15" hidden="false" customHeight="false" outlineLevel="0" collapsed="false">
      <c r="A642" s="85" t="str">
        <f aca="false">SRC_Demand!$A15&amp;""</f>
        <v>SRC_DEM_011</v>
      </c>
      <c r="B642" s="54" t="s">
        <v>6790</v>
      </c>
      <c r="C642" s="53" t="n">
        <v>15</v>
      </c>
      <c r="D642" s="85" t="str">
        <f aca="false">SRC_Demand!$O15</f>
        <v>Active</v>
      </c>
      <c r="E642" s="85" t="n">
        <f aca="false">SRC_Demand!$K15</f>
        <v>1</v>
      </c>
      <c r="F642" s="85" t="str">
        <f aca="false">SRC_Demand!$S15</f>
        <v>2026-10-05</v>
      </c>
    </row>
    <row r="643" customFormat="false" ht="15" hidden="false" customHeight="false" outlineLevel="0" collapsed="false">
      <c r="A643" s="85" t="str">
        <f aca="false">SRC_Demand!$A16&amp;""</f>
        <v>SRC_DEM_012</v>
      </c>
      <c r="B643" s="54" t="s">
        <v>6790</v>
      </c>
      <c r="C643" s="53" t="n">
        <v>16</v>
      </c>
      <c r="D643" s="85" t="str">
        <f aca="false">SRC_Demand!$O16</f>
        <v>Active</v>
      </c>
      <c r="E643" s="85" t="n">
        <f aca="false">SRC_Demand!$K16</f>
        <v>2</v>
      </c>
      <c r="F643" s="85" t="str">
        <f aca="false">SRC_Demand!$S16</f>
        <v>—</v>
      </c>
    </row>
    <row r="644" customFormat="false" ht="15" hidden="false" customHeight="false" outlineLevel="0" collapsed="false">
      <c r="A644" s="85" t="str">
        <f aca="false">SRC_Demand!$A17&amp;""</f>
        <v>SRC_DEM_013</v>
      </c>
      <c r="B644" s="54" t="s">
        <v>6790</v>
      </c>
      <c r="C644" s="53" t="n">
        <v>17</v>
      </c>
      <c r="D644" s="85" t="str">
        <f aca="false">SRC_Demand!$O17</f>
        <v>Active</v>
      </c>
      <c r="E644" s="85" t="n">
        <f aca="false">SRC_Demand!$K17</f>
        <v>1</v>
      </c>
      <c r="F644" s="85" t="str">
        <f aca="false">SRC_Demand!$S17</f>
        <v>2026-10-05</v>
      </c>
    </row>
    <row r="645" customFormat="false" ht="15" hidden="false" customHeight="false" outlineLevel="0" collapsed="false">
      <c r="A645" s="85" t="str">
        <f aca="false">SRC_Demand!$A18&amp;""</f>
        <v>SRC_DEM_014</v>
      </c>
      <c r="B645" s="54" t="s">
        <v>6790</v>
      </c>
      <c r="C645" s="53" t="n">
        <v>18</v>
      </c>
      <c r="D645" s="85" t="str">
        <f aca="false">SRC_Demand!$O18</f>
        <v>Active</v>
      </c>
      <c r="E645" s="85" t="n">
        <f aca="false">SRC_Demand!$K18</f>
        <v>1</v>
      </c>
      <c r="F645" s="85" t="str">
        <f aca="false">SRC_Demand!$S18</f>
        <v>—</v>
      </c>
    </row>
    <row r="646" customFormat="false" ht="15" hidden="false" customHeight="false" outlineLevel="0" collapsed="false">
      <c r="A646" s="85" t="str">
        <f aca="false">SRC_Demand!$A19&amp;""</f>
        <v>SRC_DEM_015</v>
      </c>
      <c r="B646" s="54" t="s">
        <v>6790</v>
      </c>
      <c r="C646" s="53" t="n">
        <v>19</v>
      </c>
      <c r="D646" s="85" t="str">
        <f aca="false">SRC_Demand!$O19</f>
        <v>Active</v>
      </c>
      <c r="E646" s="85" t="n">
        <f aca="false">SRC_Demand!$K19</f>
        <v>1</v>
      </c>
      <c r="F646" s="85" t="str">
        <f aca="false">SRC_Demand!$S19</f>
        <v>—</v>
      </c>
    </row>
    <row r="647" customFormat="false" ht="15" hidden="false" customHeight="false" outlineLevel="0" collapsed="false">
      <c r="A647" s="85" t="str">
        <f aca="false">SRC_Demand!$A20&amp;""</f>
        <v>SRC_DEM_016</v>
      </c>
      <c r="B647" s="54" t="s">
        <v>6790</v>
      </c>
      <c r="C647" s="53" t="n">
        <v>20</v>
      </c>
      <c r="D647" s="85" t="str">
        <f aca="false">SRC_Demand!$O20</f>
        <v>Active</v>
      </c>
      <c r="E647" s="85" t="n">
        <f aca="false">SRC_Demand!$K20</f>
        <v>1</v>
      </c>
      <c r="F647" s="85" t="str">
        <f aca="false">SRC_Demand!$S20</f>
        <v>—</v>
      </c>
    </row>
    <row r="648" customFormat="false" ht="15" hidden="false" customHeight="false" outlineLevel="0" collapsed="false">
      <c r="A648" s="85" t="str">
        <f aca="false">SRC_Demand!$A21&amp;""</f>
        <v>SRC_DEM_017</v>
      </c>
      <c r="B648" s="54" t="s">
        <v>6790</v>
      </c>
      <c r="C648" s="53" t="n">
        <v>21</v>
      </c>
      <c r="D648" s="85" t="str">
        <f aca="false">SRC_Demand!$O21</f>
        <v>Active</v>
      </c>
      <c r="E648" s="85" t="n">
        <f aca="false">SRC_Demand!$K21</f>
        <v>1</v>
      </c>
      <c r="F648" s="85" t="str">
        <f aca="false">SRC_Demand!$S21</f>
        <v>—</v>
      </c>
    </row>
    <row r="649" customFormat="false" ht="15" hidden="false" customHeight="false" outlineLevel="0" collapsed="false">
      <c r="A649" s="85" t="str">
        <f aca="false">SRC_Demand!$A22&amp;""</f>
        <v>SRC_DEM_018</v>
      </c>
      <c r="B649" s="54" t="s">
        <v>6790</v>
      </c>
      <c r="C649" s="53" t="n">
        <v>22</v>
      </c>
      <c r="D649" s="85" t="str">
        <f aca="false">SRC_Demand!$O22</f>
        <v>Active</v>
      </c>
      <c r="E649" s="85" t="n">
        <f aca="false">SRC_Demand!$K22</f>
        <v>2</v>
      </c>
      <c r="F649" s="85" t="str">
        <f aca="false">SRC_Demand!$S22</f>
        <v>—</v>
      </c>
    </row>
    <row r="650" customFormat="false" ht="15" hidden="false" customHeight="false" outlineLevel="0" collapsed="false">
      <c r="A650" s="85" t="str">
        <f aca="false">SRC_Demand!$A23&amp;""</f>
        <v/>
      </c>
      <c r="B650" s="54" t="s">
        <v>6790</v>
      </c>
      <c r="C650" s="53" t="n">
        <v>23</v>
      </c>
      <c r="D650" s="85" t="n">
        <f aca="false">SRC_Demand!$O23</f>
        <v>0</v>
      </c>
      <c r="E650" s="85" t="n">
        <f aca="false">SRC_Demand!$K23</f>
        <v>0</v>
      </c>
      <c r="F650" s="85" t="n">
        <f aca="false">SRC_Demand!$S23</f>
        <v>0</v>
      </c>
    </row>
    <row r="651" customFormat="false" ht="15" hidden="false" customHeight="false" outlineLevel="0" collapsed="false">
      <c r="A651" s="85" t="str">
        <f aca="false">SRC_Demand!$A24&amp;""</f>
        <v/>
      </c>
      <c r="B651" s="54" t="s">
        <v>6790</v>
      </c>
      <c r="C651" s="53" t="n">
        <v>24</v>
      </c>
      <c r="D651" s="85" t="n">
        <f aca="false">SRC_Demand!$O24</f>
        <v>0</v>
      </c>
      <c r="E651" s="85" t="n">
        <f aca="false">SRC_Demand!$K24</f>
        <v>0</v>
      </c>
      <c r="F651" s="85" t="n">
        <f aca="false">SRC_Demand!$S24</f>
        <v>0</v>
      </c>
    </row>
    <row r="652" customFormat="false" ht="15" hidden="false" customHeight="false" outlineLevel="0" collapsed="false">
      <c r="A652" s="85" t="str">
        <f aca="false">SRC_Demand!$A25&amp;""</f>
        <v/>
      </c>
      <c r="B652" s="54" t="s">
        <v>6790</v>
      </c>
      <c r="C652" s="53" t="n">
        <v>25</v>
      </c>
      <c r="D652" s="85" t="n">
        <f aca="false">SRC_Demand!$O25</f>
        <v>0</v>
      </c>
      <c r="E652" s="85" t="n">
        <f aca="false">SRC_Demand!$K25</f>
        <v>0</v>
      </c>
      <c r="F652" s="85" t="n">
        <f aca="false">SRC_Demand!$S25</f>
        <v>0</v>
      </c>
    </row>
    <row r="653" customFormat="false" ht="15" hidden="false" customHeight="false" outlineLevel="0" collapsed="false">
      <c r="A653" s="85" t="str">
        <f aca="false">SRC_Demand!$A26&amp;""</f>
        <v/>
      </c>
      <c r="B653" s="54" t="s">
        <v>6790</v>
      </c>
      <c r="C653" s="53" t="n">
        <v>26</v>
      </c>
      <c r="D653" s="85" t="n">
        <f aca="false">SRC_Demand!$O26</f>
        <v>0</v>
      </c>
      <c r="E653" s="85" t="n">
        <f aca="false">SRC_Demand!$K26</f>
        <v>0</v>
      </c>
      <c r="F653" s="85" t="n">
        <f aca="false">SRC_Demand!$S26</f>
        <v>0</v>
      </c>
    </row>
    <row r="654" customFormat="false" ht="15" hidden="false" customHeight="false" outlineLevel="0" collapsed="false">
      <c r="A654" s="85" t="str">
        <f aca="false">SRC_Demand!$A27&amp;""</f>
        <v/>
      </c>
      <c r="B654" s="54" t="s">
        <v>6790</v>
      </c>
      <c r="C654" s="53" t="n">
        <v>27</v>
      </c>
      <c r="D654" s="85" t="n">
        <f aca="false">SRC_Demand!$O27</f>
        <v>0</v>
      </c>
      <c r="E654" s="85" t="n">
        <f aca="false">SRC_Demand!$K27</f>
        <v>0</v>
      </c>
      <c r="F654" s="85" t="n">
        <f aca="false">SRC_Demand!$S27</f>
        <v>0</v>
      </c>
    </row>
    <row r="655" customFormat="false" ht="15" hidden="false" customHeight="false" outlineLevel="0" collapsed="false">
      <c r="A655" s="85" t="str">
        <f aca="false">SRC_Demand!$A28&amp;""</f>
        <v/>
      </c>
      <c r="B655" s="54" t="s">
        <v>6790</v>
      </c>
      <c r="C655" s="53" t="n">
        <v>28</v>
      </c>
      <c r="D655" s="85" t="n">
        <f aca="false">SRC_Demand!$O28</f>
        <v>0</v>
      </c>
      <c r="E655" s="85" t="n">
        <f aca="false">SRC_Demand!$K28</f>
        <v>0</v>
      </c>
      <c r="F655" s="85" t="n">
        <f aca="false">SRC_Demand!$S28</f>
        <v>0</v>
      </c>
    </row>
    <row r="656" customFormat="false" ht="15" hidden="false" customHeight="false" outlineLevel="0" collapsed="false">
      <c r="A656" s="85" t="str">
        <f aca="false">SRC_Demand!$A29&amp;""</f>
        <v/>
      </c>
      <c r="B656" s="54" t="s">
        <v>6790</v>
      </c>
      <c r="C656" s="53" t="n">
        <v>29</v>
      </c>
      <c r="D656" s="85" t="n">
        <f aca="false">SRC_Demand!$O29</f>
        <v>0</v>
      </c>
      <c r="E656" s="85" t="n">
        <f aca="false">SRC_Demand!$K29</f>
        <v>0</v>
      </c>
      <c r="F656" s="85" t="n">
        <f aca="false">SRC_Demand!$S29</f>
        <v>0</v>
      </c>
    </row>
    <row r="657" customFormat="false" ht="15" hidden="false" customHeight="false" outlineLevel="0" collapsed="false">
      <c r="A657" s="85" t="str">
        <f aca="false">SRC_Demand!$A30&amp;""</f>
        <v/>
      </c>
      <c r="B657" s="54" t="s">
        <v>6790</v>
      </c>
      <c r="C657" s="53" t="n">
        <v>30</v>
      </c>
      <c r="D657" s="85" t="n">
        <f aca="false">SRC_Demand!$O30</f>
        <v>0</v>
      </c>
      <c r="E657" s="85" t="n">
        <f aca="false">SRC_Demand!$K30</f>
        <v>0</v>
      </c>
      <c r="F657" s="85" t="n">
        <f aca="false">SRC_Demand!$S30</f>
        <v>0</v>
      </c>
    </row>
    <row r="658" customFormat="false" ht="15" hidden="false" customHeight="false" outlineLevel="0" collapsed="false">
      <c r="A658" s="85" t="str">
        <f aca="false">SRC_Demand!$A31&amp;""</f>
        <v/>
      </c>
      <c r="B658" s="54" t="s">
        <v>6790</v>
      </c>
      <c r="C658" s="53" t="n">
        <v>31</v>
      </c>
      <c r="D658" s="85" t="n">
        <f aca="false">SRC_Demand!$O31</f>
        <v>0</v>
      </c>
      <c r="E658" s="85" t="n">
        <f aca="false">SRC_Demand!$K31</f>
        <v>0</v>
      </c>
      <c r="F658" s="85" t="n">
        <f aca="false">SRC_Demand!$S31</f>
        <v>0</v>
      </c>
    </row>
    <row r="659" customFormat="false" ht="15" hidden="false" customHeight="false" outlineLevel="0" collapsed="false">
      <c r="A659" s="85" t="str">
        <f aca="false">SRC_Demand!$A32&amp;""</f>
        <v/>
      </c>
      <c r="B659" s="54" t="s">
        <v>6790</v>
      </c>
      <c r="C659" s="53" t="n">
        <v>32</v>
      </c>
      <c r="D659" s="85" t="n">
        <f aca="false">SRC_Demand!$O32</f>
        <v>0</v>
      </c>
      <c r="E659" s="85" t="n">
        <f aca="false">SRC_Demand!$K32</f>
        <v>0</v>
      </c>
      <c r="F659" s="85" t="n">
        <f aca="false">SRC_Demand!$S32</f>
        <v>0</v>
      </c>
    </row>
    <row r="660" customFormat="false" ht="15" hidden="false" customHeight="false" outlineLevel="0" collapsed="false">
      <c r="A660" s="85" t="str">
        <f aca="false">SRC_Demand!$A33&amp;""</f>
        <v/>
      </c>
      <c r="B660" s="54" t="s">
        <v>6790</v>
      </c>
      <c r="C660" s="53" t="n">
        <v>33</v>
      </c>
      <c r="D660" s="85" t="n">
        <f aca="false">SRC_Demand!$O33</f>
        <v>0</v>
      </c>
      <c r="E660" s="85" t="n">
        <f aca="false">SRC_Demand!$K33</f>
        <v>0</v>
      </c>
      <c r="F660" s="85" t="n">
        <f aca="false">SRC_Demand!$S33</f>
        <v>0</v>
      </c>
    </row>
    <row r="661" customFormat="false" ht="15" hidden="false" customHeight="false" outlineLevel="0" collapsed="false">
      <c r="A661" s="85" t="str">
        <f aca="false">SRC_Demand!$A34&amp;""</f>
        <v/>
      </c>
      <c r="B661" s="54" t="s">
        <v>6790</v>
      </c>
      <c r="C661" s="53" t="n">
        <v>34</v>
      </c>
      <c r="D661" s="85" t="n">
        <f aca="false">SRC_Demand!$O34</f>
        <v>0</v>
      </c>
      <c r="E661" s="85" t="n">
        <f aca="false">SRC_Demand!$K34</f>
        <v>0</v>
      </c>
      <c r="F661" s="85" t="n">
        <f aca="false">SRC_Demand!$S34</f>
        <v>0</v>
      </c>
    </row>
    <row r="662" customFormat="false" ht="15" hidden="false" customHeight="false" outlineLevel="0" collapsed="false">
      <c r="A662" s="85" t="str">
        <f aca="false">SRC_Demand!$A35&amp;""</f>
        <v/>
      </c>
      <c r="B662" s="54" t="s">
        <v>6790</v>
      </c>
      <c r="C662" s="53" t="n">
        <v>35</v>
      </c>
      <c r="D662" s="85" t="n">
        <f aca="false">SRC_Demand!$O35</f>
        <v>0</v>
      </c>
      <c r="E662" s="85" t="n">
        <f aca="false">SRC_Demand!$K35</f>
        <v>0</v>
      </c>
      <c r="F662" s="85" t="n">
        <f aca="false">SRC_Demand!$S35</f>
        <v>0</v>
      </c>
    </row>
    <row r="663" customFormat="false" ht="15" hidden="false" customHeight="false" outlineLevel="0" collapsed="false">
      <c r="A663" s="85" t="str">
        <f aca="false">SRC_Demand!$A36&amp;""</f>
        <v/>
      </c>
      <c r="B663" s="54" t="s">
        <v>6790</v>
      </c>
      <c r="C663" s="53" t="n">
        <v>36</v>
      </c>
      <c r="D663" s="85" t="n">
        <f aca="false">SRC_Demand!$O36</f>
        <v>0</v>
      </c>
      <c r="E663" s="85" t="n">
        <f aca="false">SRC_Demand!$K36</f>
        <v>0</v>
      </c>
      <c r="F663" s="85" t="n">
        <f aca="false">SRC_Demand!$S36</f>
        <v>0</v>
      </c>
    </row>
    <row r="664" customFormat="false" ht="15" hidden="false" customHeight="false" outlineLevel="0" collapsed="false">
      <c r="A664" s="85" t="str">
        <f aca="false">SRC_Demand!$A37&amp;""</f>
        <v/>
      </c>
      <c r="B664" s="54" t="s">
        <v>6790</v>
      </c>
      <c r="C664" s="53" t="n">
        <v>37</v>
      </c>
      <c r="D664" s="85" t="n">
        <f aca="false">SRC_Demand!$O37</f>
        <v>0</v>
      </c>
      <c r="E664" s="85" t="n">
        <f aca="false">SRC_Demand!$K37</f>
        <v>0</v>
      </c>
      <c r="F664" s="85" t="n">
        <f aca="false">SRC_Demand!$S37</f>
        <v>0</v>
      </c>
    </row>
    <row r="665" customFormat="false" ht="15" hidden="false" customHeight="false" outlineLevel="0" collapsed="false">
      <c r="A665" s="85" t="str">
        <f aca="false">SRC_Demand!$A38&amp;""</f>
        <v/>
      </c>
      <c r="B665" s="54" t="s">
        <v>6790</v>
      </c>
      <c r="C665" s="53" t="n">
        <v>38</v>
      </c>
      <c r="D665" s="85" t="n">
        <f aca="false">SRC_Demand!$O38</f>
        <v>0</v>
      </c>
      <c r="E665" s="85" t="n">
        <f aca="false">SRC_Demand!$K38</f>
        <v>0</v>
      </c>
      <c r="F665" s="85" t="n">
        <f aca="false">SRC_Demand!$S38</f>
        <v>0</v>
      </c>
    </row>
    <row r="666" customFormat="false" ht="15" hidden="false" customHeight="false" outlineLevel="0" collapsed="false">
      <c r="A666" s="85" t="str">
        <f aca="false">SRC_Demand!$A39&amp;""</f>
        <v/>
      </c>
      <c r="B666" s="54" t="s">
        <v>6790</v>
      </c>
      <c r="C666" s="53" t="n">
        <v>39</v>
      </c>
      <c r="D666" s="85" t="n">
        <f aca="false">SRC_Demand!$O39</f>
        <v>0</v>
      </c>
      <c r="E666" s="85" t="n">
        <f aca="false">SRC_Demand!$K39</f>
        <v>0</v>
      </c>
      <c r="F666" s="85" t="n">
        <f aca="false">SRC_Demand!$S39</f>
        <v>0</v>
      </c>
    </row>
    <row r="667" customFormat="false" ht="15" hidden="false" customHeight="false" outlineLevel="0" collapsed="false">
      <c r="A667" s="85" t="str">
        <f aca="false">SRC_Demand!$A40&amp;""</f>
        <v/>
      </c>
      <c r="B667" s="54" t="s">
        <v>6790</v>
      </c>
      <c r="C667" s="53" t="n">
        <v>40</v>
      </c>
      <c r="D667" s="85" t="n">
        <f aca="false">SRC_Demand!$O40</f>
        <v>0</v>
      </c>
      <c r="E667" s="85" t="n">
        <f aca="false">SRC_Demand!$K40</f>
        <v>0</v>
      </c>
      <c r="F667" s="85" t="n">
        <f aca="false">SRC_Demand!$S40</f>
        <v>0</v>
      </c>
    </row>
    <row r="668" customFormat="false" ht="15" hidden="false" customHeight="false" outlineLevel="0" collapsed="false">
      <c r="A668" s="85" t="str">
        <f aca="false">SRC_Demand!$A41&amp;""</f>
        <v/>
      </c>
      <c r="B668" s="54" t="s">
        <v>6790</v>
      </c>
      <c r="C668" s="53" t="n">
        <v>41</v>
      </c>
      <c r="D668" s="85" t="n">
        <f aca="false">SRC_Demand!$O41</f>
        <v>0</v>
      </c>
      <c r="E668" s="85" t="n">
        <f aca="false">SRC_Demand!$K41</f>
        <v>0</v>
      </c>
      <c r="F668" s="85" t="n">
        <f aca="false">SRC_Demand!$S41</f>
        <v>0</v>
      </c>
    </row>
    <row r="669" customFormat="false" ht="15" hidden="false" customHeight="false" outlineLevel="0" collapsed="false">
      <c r="A669" s="85" t="str">
        <f aca="false">SRC_Demand!$A42&amp;""</f>
        <v/>
      </c>
      <c r="B669" s="54" t="s">
        <v>6790</v>
      </c>
      <c r="C669" s="53" t="n">
        <v>42</v>
      </c>
      <c r="D669" s="85" t="n">
        <f aca="false">SRC_Demand!$O42</f>
        <v>0</v>
      </c>
      <c r="E669" s="85" t="n">
        <f aca="false">SRC_Demand!$K42</f>
        <v>0</v>
      </c>
      <c r="F669" s="85" t="n">
        <f aca="false">SRC_Demand!$S42</f>
        <v>0</v>
      </c>
    </row>
    <row r="670" customFormat="false" ht="15" hidden="false" customHeight="false" outlineLevel="0" collapsed="false">
      <c r="A670" s="85" t="str">
        <f aca="false">SRC_Demand!$A43&amp;""</f>
        <v/>
      </c>
      <c r="B670" s="54" t="s">
        <v>6790</v>
      </c>
      <c r="C670" s="53" t="n">
        <v>43</v>
      </c>
      <c r="D670" s="85" t="n">
        <f aca="false">SRC_Demand!$O43</f>
        <v>0</v>
      </c>
      <c r="E670" s="85" t="n">
        <f aca="false">SRC_Demand!$K43</f>
        <v>0</v>
      </c>
      <c r="F670" s="85" t="n">
        <f aca="false">SRC_Demand!$S43</f>
        <v>0</v>
      </c>
    </row>
    <row r="671" customFormat="false" ht="15" hidden="false" customHeight="false" outlineLevel="0" collapsed="false">
      <c r="A671" s="85" t="str">
        <f aca="false">SRC_Demand!$A44&amp;""</f>
        <v/>
      </c>
      <c r="B671" s="54" t="s">
        <v>6790</v>
      </c>
      <c r="C671" s="53" t="n">
        <v>44</v>
      </c>
      <c r="D671" s="85" t="n">
        <f aca="false">SRC_Demand!$O44</f>
        <v>0</v>
      </c>
      <c r="E671" s="85" t="n">
        <f aca="false">SRC_Demand!$K44</f>
        <v>0</v>
      </c>
      <c r="F671" s="85" t="n">
        <f aca="false">SRC_Demand!$S44</f>
        <v>0</v>
      </c>
    </row>
    <row r="672" customFormat="false" ht="15" hidden="false" customHeight="false" outlineLevel="0" collapsed="false">
      <c r="A672" s="85" t="str">
        <f aca="false">SRC_Demand!$A45&amp;""</f>
        <v/>
      </c>
      <c r="B672" s="54" t="s">
        <v>6790</v>
      </c>
      <c r="C672" s="53" t="n">
        <v>45</v>
      </c>
      <c r="D672" s="85" t="n">
        <f aca="false">SRC_Demand!$O45</f>
        <v>0</v>
      </c>
      <c r="E672" s="85" t="n">
        <f aca="false">SRC_Demand!$K45</f>
        <v>0</v>
      </c>
      <c r="F672" s="85" t="n">
        <f aca="false">SRC_Demand!$S45</f>
        <v>0</v>
      </c>
    </row>
    <row r="673" customFormat="false" ht="15" hidden="false" customHeight="false" outlineLevel="0" collapsed="false">
      <c r="A673" s="85" t="str">
        <f aca="false">SRC_Demand!$A46&amp;""</f>
        <v/>
      </c>
      <c r="B673" s="54" t="s">
        <v>6790</v>
      </c>
      <c r="C673" s="53" t="n">
        <v>46</v>
      </c>
      <c r="D673" s="85" t="n">
        <f aca="false">SRC_Demand!$O46</f>
        <v>0</v>
      </c>
      <c r="E673" s="85" t="n">
        <f aca="false">SRC_Demand!$K46</f>
        <v>0</v>
      </c>
      <c r="F673" s="85" t="n">
        <f aca="false">SRC_Demand!$S46</f>
        <v>0</v>
      </c>
    </row>
    <row r="674" customFormat="false" ht="15" hidden="false" customHeight="false" outlineLevel="0" collapsed="false">
      <c r="A674" s="85" t="str">
        <f aca="false">SRC_Demand!$A47&amp;""</f>
        <v/>
      </c>
      <c r="B674" s="54" t="s">
        <v>6790</v>
      </c>
      <c r="C674" s="53" t="n">
        <v>47</v>
      </c>
      <c r="D674" s="85" t="n">
        <f aca="false">SRC_Demand!$O47</f>
        <v>0</v>
      </c>
      <c r="E674" s="85" t="n">
        <f aca="false">SRC_Demand!$K47</f>
        <v>0</v>
      </c>
      <c r="F674" s="85" t="n">
        <f aca="false">SRC_Demand!$S47</f>
        <v>0</v>
      </c>
    </row>
    <row r="675" customFormat="false" ht="15" hidden="false" customHeight="false" outlineLevel="0" collapsed="false">
      <c r="A675" s="85" t="str">
        <f aca="false">SRC_Demand!$A48&amp;""</f>
        <v/>
      </c>
      <c r="B675" s="54" t="s">
        <v>6790</v>
      </c>
      <c r="C675" s="53" t="n">
        <v>48</v>
      </c>
      <c r="D675" s="85" t="n">
        <f aca="false">SRC_Demand!$O48</f>
        <v>0</v>
      </c>
      <c r="E675" s="85" t="n">
        <f aca="false">SRC_Demand!$K48</f>
        <v>0</v>
      </c>
      <c r="F675" s="85" t="n">
        <f aca="false">SRC_Demand!$S48</f>
        <v>0</v>
      </c>
    </row>
    <row r="676" customFormat="false" ht="15" hidden="false" customHeight="false" outlineLevel="0" collapsed="false">
      <c r="A676" s="85" t="str">
        <f aca="false">SRC_Demand!$A49&amp;""</f>
        <v/>
      </c>
      <c r="B676" s="54" t="s">
        <v>6790</v>
      </c>
      <c r="C676" s="53" t="n">
        <v>49</v>
      </c>
      <c r="D676" s="85" t="n">
        <f aca="false">SRC_Demand!$O49</f>
        <v>0</v>
      </c>
      <c r="E676" s="85" t="n">
        <f aca="false">SRC_Demand!$K49</f>
        <v>0</v>
      </c>
      <c r="F676" s="85" t="n">
        <f aca="false">SRC_Demand!$S49</f>
        <v>0</v>
      </c>
    </row>
    <row r="677" customFormat="false" ht="15" hidden="false" customHeight="false" outlineLevel="0" collapsed="false">
      <c r="A677" s="85" t="str">
        <f aca="false">SRC_Demand!$A50&amp;""</f>
        <v/>
      </c>
      <c r="B677" s="54" t="s">
        <v>6790</v>
      </c>
      <c r="C677" s="53" t="n">
        <v>50</v>
      </c>
      <c r="D677" s="85" t="n">
        <f aca="false">SRC_Demand!$O50</f>
        <v>0</v>
      </c>
      <c r="E677" s="85" t="n">
        <f aca="false">SRC_Demand!$K50</f>
        <v>0</v>
      </c>
      <c r="F677" s="85" t="n">
        <f aca="false">SRC_Demand!$S50</f>
        <v>0</v>
      </c>
    </row>
    <row r="678" customFormat="false" ht="15" hidden="false" customHeight="false" outlineLevel="0" collapsed="false">
      <c r="A678" s="85" t="str">
        <f aca="false">SRC_Demand!$A51&amp;""</f>
        <v/>
      </c>
      <c r="B678" s="54" t="s">
        <v>6790</v>
      </c>
      <c r="C678" s="53" t="n">
        <v>51</v>
      </c>
      <c r="D678" s="85" t="n">
        <f aca="false">SRC_Demand!$O51</f>
        <v>0</v>
      </c>
      <c r="E678" s="85" t="n">
        <f aca="false">SRC_Demand!$K51</f>
        <v>0</v>
      </c>
      <c r="F678" s="85" t="n">
        <f aca="false">SRC_Demand!$S51</f>
        <v>0</v>
      </c>
    </row>
    <row r="679" customFormat="false" ht="15" hidden="false" customHeight="false" outlineLevel="0" collapsed="false">
      <c r="A679" s="85" t="str">
        <f aca="false">SRC_Demand!$A52&amp;""</f>
        <v/>
      </c>
      <c r="B679" s="54" t="s">
        <v>6790</v>
      </c>
      <c r="C679" s="53" t="n">
        <v>52</v>
      </c>
      <c r="D679" s="85" t="n">
        <f aca="false">SRC_Demand!$O52</f>
        <v>0</v>
      </c>
      <c r="E679" s="85" t="n">
        <f aca="false">SRC_Demand!$K52</f>
        <v>0</v>
      </c>
      <c r="F679" s="85" t="n">
        <f aca="false">SRC_Demand!$S52</f>
        <v>0</v>
      </c>
    </row>
    <row r="680" customFormat="false" ht="15" hidden="false" customHeight="false" outlineLevel="0" collapsed="false">
      <c r="A680" s="85" t="str">
        <f aca="false">SRC_Demand!$A53&amp;""</f>
        <v/>
      </c>
      <c r="B680" s="54" t="s">
        <v>6790</v>
      </c>
      <c r="C680" s="53" t="n">
        <v>53</v>
      </c>
      <c r="D680" s="85" t="n">
        <f aca="false">SRC_Demand!$O53</f>
        <v>0</v>
      </c>
      <c r="E680" s="85" t="n">
        <f aca="false">SRC_Demand!$K53</f>
        <v>0</v>
      </c>
      <c r="F680" s="85" t="n">
        <f aca="false">SRC_Demand!$S53</f>
        <v>0</v>
      </c>
    </row>
    <row r="681" customFormat="false" ht="15" hidden="false" customHeight="false" outlineLevel="0" collapsed="false">
      <c r="A681" s="85" t="str">
        <f aca="false">SRC_Demand!$A54&amp;""</f>
        <v/>
      </c>
      <c r="B681" s="54" t="s">
        <v>6790</v>
      </c>
      <c r="C681" s="53" t="n">
        <v>54</v>
      </c>
      <c r="D681" s="85" t="n">
        <f aca="false">SRC_Demand!$O54</f>
        <v>0</v>
      </c>
      <c r="E681" s="85" t="n">
        <f aca="false">SRC_Demand!$K54</f>
        <v>0</v>
      </c>
      <c r="F681" s="85" t="n">
        <f aca="false">SRC_Demand!$S54</f>
        <v>0</v>
      </c>
    </row>
    <row r="682" customFormat="false" ht="15" hidden="false" customHeight="false" outlineLevel="0" collapsed="false">
      <c r="A682" s="85" t="str">
        <f aca="false">SRC_Demand!$A55&amp;""</f>
        <v/>
      </c>
      <c r="B682" s="54" t="s">
        <v>6790</v>
      </c>
      <c r="C682" s="53" t="n">
        <v>55</v>
      </c>
      <c r="D682" s="85" t="n">
        <f aca="false">SRC_Demand!$O55</f>
        <v>0</v>
      </c>
      <c r="E682" s="85" t="n">
        <f aca="false">SRC_Demand!$K55</f>
        <v>0</v>
      </c>
      <c r="F682" s="85" t="n">
        <f aca="false">SRC_Demand!$S55</f>
        <v>0</v>
      </c>
    </row>
    <row r="683" customFormat="false" ht="15" hidden="false" customHeight="false" outlineLevel="0" collapsed="false">
      <c r="A683" s="85" t="str">
        <f aca="false">SRC_Demand!$A56&amp;""</f>
        <v/>
      </c>
      <c r="B683" s="54" t="s">
        <v>6790</v>
      </c>
      <c r="C683" s="53" t="n">
        <v>56</v>
      </c>
      <c r="D683" s="85" t="n">
        <f aca="false">SRC_Demand!$O56</f>
        <v>0</v>
      </c>
      <c r="E683" s="85" t="n">
        <f aca="false">SRC_Demand!$K56</f>
        <v>0</v>
      </c>
      <c r="F683" s="85" t="n">
        <f aca="false">SRC_Demand!$S56</f>
        <v>0</v>
      </c>
    </row>
    <row r="684" customFormat="false" ht="15" hidden="false" customHeight="false" outlineLevel="0" collapsed="false">
      <c r="A684" s="85" t="str">
        <f aca="false">SRC_Demand!$A57&amp;""</f>
        <v/>
      </c>
      <c r="B684" s="54" t="s">
        <v>6790</v>
      </c>
      <c r="C684" s="53" t="n">
        <v>57</v>
      </c>
      <c r="D684" s="85" t="n">
        <f aca="false">SRC_Demand!$O57</f>
        <v>0</v>
      </c>
      <c r="E684" s="85" t="n">
        <f aca="false">SRC_Demand!$K57</f>
        <v>0</v>
      </c>
      <c r="F684" s="85" t="n">
        <f aca="false">SRC_Demand!$S57</f>
        <v>0</v>
      </c>
    </row>
    <row r="685" customFormat="false" ht="15" hidden="false" customHeight="false" outlineLevel="0" collapsed="false">
      <c r="A685" s="85" t="str">
        <f aca="false">SRC_Demand!$A58&amp;""</f>
        <v/>
      </c>
      <c r="B685" s="54" t="s">
        <v>6790</v>
      </c>
      <c r="C685" s="53" t="n">
        <v>58</v>
      </c>
      <c r="D685" s="85" t="n">
        <f aca="false">SRC_Demand!$O58</f>
        <v>0</v>
      </c>
      <c r="E685" s="85" t="n">
        <f aca="false">SRC_Demand!$K58</f>
        <v>0</v>
      </c>
      <c r="F685" s="85" t="n">
        <f aca="false">SRC_Demand!$S58</f>
        <v>0</v>
      </c>
    </row>
    <row r="686" customFormat="false" ht="15" hidden="false" customHeight="false" outlineLevel="0" collapsed="false">
      <c r="A686" s="85" t="str">
        <f aca="false">SRC_Demand!$A59&amp;""</f>
        <v/>
      </c>
      <c r="B686" s="54" t="s">
        <v>6790</v>
      </c>
      <c r="C686" s="53" t="n">
        <v>59</v>
      </c>
      <c r="D686" s="85" t="n">
        <f aca="false">SRC_Demand!$O59</f>
        <v>0</v>
      </c>
      <c r="E686" s="85" t="n">
        <f aca="false">SRC_Demand!$K59</f>
        <v>0</v>
      </c>
      <c r="F686" s="85" t="n">
        <f aca="false">SRC_Demand!$S59</f>
        <v>0</v>
      </c>
    </row>
    <row r="687" customFormat="false" ht="15" hidden="false" customHeight="false" outlineLevel="0" collapsed="false">
      <c r="A687" s="85" t="str">
        <f aca="false">SRC_Demand!$A60&amp;""</f>
        <v/>
      </c>
      <c r="B687" s="54" t="s">
        <v>6790</v>
      </c>
      <c r="C687" s="53" t="n">
        <v>60</v>
      </c>
      <c r="D687" s="85" t="n">
        <f aca="false">SRC_Demand!$O60</f>
        <v>0</v>
      </c>
      <c r="E687" s="85" t="n">
        <f aca="false">SRC_Demand!$K60</f>
        <v>0</v>
      </c>
      <c r="F687" s="85" t="n">
        <f aca="false">SRC_Demand!$S60</f>
        <v>0</v>
      </c>
    </row>
    <row r="688" customFormat="false" ht="15" hidden="false" customHeight="false" outlineLevel="0" collapsed="false">
      <c r="A688" s="85" t="str">
        <f aca="false">SRC_Demand!$A61&amp;""</f>
        <v/>
      </c>
      <c r="B688" s="54" t="s">
        <v>6790</v>
      </c>
      <c r="C688" s="53" t="n">
        <v>61</v>
      </c>
      <c r="D688" s="85" t="n">
        <f aca="false">SRC_Demand!$O61</f>
        <v>0</v>
      </c>
      <c r="E688" s="85" t="n">
        <f aca="false">SRC_Demand!$K61</f>
        <v>0</v>
      </c>
      <c r="F688" s="85" t="n">
        <f aca="false">SRC_Demand!$S61</f>
        <v>0</v>
      </c>
    </row>
    <row r="689" customFormat="false" ht="15" hidden="false" customHeight="false" outlineLevel="0" collapsed="false">
      <c r="A689" s="85" t="str">
        <f aca="false">SRC_Demand!$A62&amp;""</f>
        <v/>
      </c>
      <c r="B689" s="54" t="s">
        <v>6790</v>
      </c>
      <c r="C689" s="53" t="n">
        <v>62</v>
      </c>
      <c r="D689" s="85" t="n">
        <f aca="false">SRC_Demand!$O62</f>
        <v>0</v>
      </c>
      <c r="E689" s="85" t="n">
        <f aca="false">SRC_Demand!$K62</f>
        <v>0</v>
      </c>
      <c r="F689" s="85" t="n">
        <f aca="false">SRC_Demand!$S62</f>
        <v>0</v>
      </c>
    </row>
    <row r="690" customFormat="false" ht="15" hidden="false" customHeight="false" outlineLevel="0" collapsed="false">
      <c r="A690" s="85" t="str">
        <f aca="false">SRC_Demand!$A63&amp;""</f>
        <v/>
      </c>
      <c r="B690" s="54" t="s">
        <v>6790</v>
      </c>
      <c r="C690" s="53" t="n">
        <v>63</v>
      </c>
      <c r="D690" s="85" t="n">
        <f aca="false">SRC_Demand!$O63</f>
        <v>0</v>
      </c>
      <c r="E690" s="85" t="n">
        <f aca="false">SRC_Demand!$K63</f>
        <v>0</v>
      </c>
      <c r="F690" s="85" t="n">
        <f aca="false">SRC_Demand!$S63</f>
        <v>0</v>
      </c>
    </row>
    <row r="691" customFormat="false" ht="15" hidden="false" customHeight="false" outlineLevel="0" collapsed="false">
      <c r="A691" s="85" t="str">
        <f aca="false">SRC_Demand!$A64&amp;""</f>
        <v/>
      </c>
      <c r="B691" s="54" t="s">
        <v>6790</v>
      </c>
      <c r="C691" s="53" t="n">
        <v>64</v>
      </c>
      <c r="D691" s="85" t="n">
        <f aca="false">SRC_Demand!$O64</f>
        <v>0</v>
      </c>
      <c r="E691" s="85" t="n">
        <f aca="false">SRC_Demand!$K64</f>
        <v>0</v>
      </c>
      <c r="F691" s="85" t="n">
        <f aca="false">SRC_Demand!$S64</f>
        <v>0</v>
      </c>
    </row>
    <row r="692" customFormat="false" ht="15" hidden="false" customHeight="false" outlineLevel="0" collapsed="false">
      <c r="A692" s="85" t="str">
        <f aca="false">SRC_Demand!$A65&amp;""</f>
        <v/>
      </c>
      <c r="B692" s="54" t="s">
        <v>6790</v>
      </c>
      <c r="C692" s="53" t="n">
        <v>65</v>
      </c>
      <c r="D692" s="85" t="n">
        <f aca="false">SRC_Demand!$O65</f>
        <v>0</v>
      </c>
      <c r="E692" s="85" t="n">
        <f aca="false">SRC_Demand!$K65</f>
        <v>0</v>
      </c>
      <c r="F692" s="85" t="n">
        <f aca="false">SRC_Demand!$S65</f>
        <v>0</v>
      </c>
    </row>
    <row r="693" customFormat="false" ht="15" hidden="false" customHeight="false" outlineLevel="0" collapsed="false">
      <c r="A693" s="85" t="str">
        <f aca="false">SRC_Demand!$A66&amp;""</f>
        <v/>
      </c>
      <c r="B693" s="54" t="s">
        <v>6790</v>
      </c>
      <c r="C693" s="53" t="n">
        <v>66</v>
      </c>
      <c r="D693" s="85" t="n">
        <f aca="false">SRC_Demand!$O66</f>
        <v>0</v>
      </c>
      <c r="E693" s="85" t="n">
        <f aca="false">SRC_Demand!$K66</f>
        <v>0</v>
      </c>
      <c r="F693" s="85" t="n">
        <f aca="false">SRC_Demand!$S66</f>
        <v>0</v>
      </c>
    </row>
    <row r="694" customFormat="false" ht="15" hidden="false" customHeight="false" outlineLevel="0" collapsed="false">
      <c r="A694" s="85" t="str">
        <f aca="false">SRC_Demand!$A67&amp;""</f>
        <v/>
      </c>
      <c r="B694" s="54" t="s">
        <v>6790</v>
      </c>
      <c r="C694" s="53" t="n">
        <v>67</v>
      </c>
      <c r="D694" s="85" t="n">
        <f aca="false">SRC_Demand!$O67</f>
        <v>0</v>
      </c>
      <c r="E694" s="85" t="n">
        <f aca="false">SRC_Demand!$K67</f>
        <v>0</v>
      </c>
      <c r="F694" s="85" t="n">
        <f aca="false">SRC_Demand!$S67</f>
        <v>0</v>
      </c>
    </row>
    <row r="695" customFormat="false" ht="15" hidden="false" customHeight="false" outlineLevel="0" collapsed="false">
      <c r="A695" s="85" t="str">
        <f aca="false">SRC_Demand!$A68&amp;""</f>
        <v/>
      </c>
      <c r="B695" s="54" t="s">
        <v>6790</v>
      </c>
      <c r="C695" s="53" t="n">
        <v>68</v>
      </c>
      <c r="D695" s="85" t="n">
        <f aca="false">SRC_Demand!$O68</f>
        <v>0</v>
      </c>
      <c r="E695" s="85" t="n">
        <f aca="false">SRC_Demand!$K68</f>
        <v>0</v>
      </c>
      <c r="F695" s="85" t="n">
        <f aca="false">SRC_Demand!$S68</f>
        <v>0</v>
      </c>
    </row>
    <row r="696" customFormat="false" ht="15" hidden="false" customHeight="false" outlineLevel="0" collapsed="false">
      <c r="A696" s="85" t="str">
        <f aca="false">SRC_Demand!$A69&amp;""</f>
        <v/>
      </c>
      <c r="B696" s="54" t="s">
        <v>6790</v>
      </c>
      <c r="C696" s="53" t="n">
        <v>69</v>
      </c>
      <c r="D696" s="85" t="n">
        <f aca="false">SRC_Demand!$O69</f>
        <v>0</v>
      </c>
      <c r="E696" s="85" t="n">
        <f aca="false">SRC_Demand!$K69</f>
        <v>0</v>
      </c>
      <c r="F696" s="85" t="n">
        <f aca="false">SRC_Demand!$S69</f>
        <v>0</v>
      </c>
    </row>
    <row r="697" customFormat="false" ht="15" hidden="false" customHeight="false" outlineLevel="0" collapsed="false">
      <c r="A697" s="85" t="str">
        <f aca="false">SRC_Demand!$A70&amp;""</f>
        <v/>
      </c>
      <c r="B697" s="54" t="s">
        <v>6790</v>
      </c>
      <c r="C697" s="53" t="n">
        <v>70</v>
      </c>
      <c r="D697" s="85" t="n">
        <f aca="false">SRC_Demand!$O70</f>
        <v>0</v>
      </c>
      <c r="E697" s="85" t="n">
        <f aca="false">SRC_Demand!$K70</f>
        <v>0</v>
      </c>
      <c r="F697" s="85" t="n">
        <f aca="false">SRC_Demand!$S70</f>
        <v>0</v>
      </c>
    </row>
    <row r="698" customFormat="false" ht="15" hidden="false" customHeight="false" outlineLevel="0" collapsed="false">
      <c r="A698" s="85" t="str">
        <f aca="false">SRC_Demand!$A71&amp;""</f>
        <v/>
      </c>
      <c r="B698" s="54" t="s">
        <v>6790</v>
      </c>
      <c r="C698" s="53" t="n">
        <v>71</v>
      </c>
      <c r="D698" s="85" t="n">
        <f aca="false">SRC_Demand!$O71</f>
        <v>0</v>
      </c>
      <c r="E698" s="85" t="n">
        <f aca="false">SRC_Demand!$K71</f>
        <v>0</v>
      </c>
      <c r="F698" s="85" t="n">
        <f aca="false">SRC_Demand!$S71</f>
        <v>0</v>
      </c>
    </row>
    <row r="699" customFormat="false" ht="15" hidden="false" customHeight="false" outlineLevel="0" collapsed="false">
      <c r="A699" s="85" t="str">
        <f aca="false">SRC_Demand!$A72&amp;""</f>
        <v/>
      </c>
      <c r="B699" s="54" t="s">
        <v>6790</v>
      </c>
      <c r="C699" s="53" t="n">
        <v>72</v>
      </c>
      <c r="D699" s="85" t="n">
        <f aca="false">SRC_Demand!$O72</f>
        <v>0</v>
      </c>
      <c r="E699" s="85" t="n">
        <f aca="false">SRC_Demand!$K72</f>
        <v>0</v>
      </c>
      <c r="F699" s="85" t="n">
        <f aca="false">SRC_Demand!$S72</f>
        <v>0</v>
      </c>
    </row>
    <row r="700" customFormat="false" ht="15" hidden="false" customHeight="false" outlineLevel="0" collapsed="false">
      <c r="A700" s="85" t="str">
        <f aca="false">Gov_Map!$H5&amp;""</f>
        <v>—</v>
      </c>
      <c r="B700" s="66" t="s">
        <v>6791</v>
      </c>
      <c r="C700" s="53" t="n">
        <v>5</v>
      </c>
      <c r="D700" s="53" t="s">
        <v>6792</v>
      </c>
      <c r="E700" s="53" t="s">
        <v>6792</v>
      </c>
      <c r="F700" s="54" t="s">
        <v>587</v>
      </c>
    </row>
    <row r="701" customFormat="false" ht="15" hidden="false" customHeight="false" outlineLevel="0" collapsed="false">
      <c r="A701" s="85" t="str">
        <f aca="false">Gov_Map!$H6&amp;""</f>
        <v>—</v>
      </c>
      <c r="B701" s="66" t="s">
        <v>6791</v>
      </c>
      <c r="C701" s="53" t="n">
        <v>6</v>
      </c>
      <c r="D701" s="53" t="s">
        <v>6792</v>
      </c>
      <c r="E701" s="53" t="s">
        <v>6792</v>
      </c>
      <c r="F701" s="54" t="s">
        <v>587</v>
      </c>
    </row>
    <row r="702" customFormat="false" ht="15" hidden="false" customHeight="false" outlineLevel="0" collapsed="false">
      <c r="A702" s="85" t="str">
        <f aca="false">Gov_Map!$H7&amp;""</f>
        <v>—</v>
      </c>
      <c r="B702" s="66" t="s">
        <v>6791</v>
      </c>
      <c r="C702" s="53" t="n">
        <v>7</v>
      </c>
      <c r="D702" s="53" t="s">
        <v>6792</v>
      </c>
      <c r="E702" s="53" t="s">
        <v>6792</v>
      </c>
      <c r="F702" s="54" t="s">
        <v>587</v>
      </c>
    </row>
    <row r="703" customFormat="false" ht="15" hidden="false" customHeight="false" outlineLevel="0" collapsed="false">
      <c r="A703" s="85" t="str">
        <f aca="false">Gov_Map!$H8&amp;""</f>
        <v>—</v>
      </c>
      <c r="B703" s="66" t="s">
        <v>6791</v>
      </c>
      <c r="C703" s="53" t="n">
        <v>8</v>
      </c>
      <c r="D703" s="53" t="s">
        <v>6792</v>
      </c>
      <c r="E703" s="53" t="s">
        <v>6792</v>
      </c>
      <c r="F703" s="54" t="s">
        <v>587</v>
      </c>
    </row>
    <row r="704" customFormat="false" ht="15" hidden="false" customHeight="false" outlineLevel="0" collapsed="false">
      <c r="A704" s="85" t="str">
        <f aca="false">Gov_Map!$H9&amp;""</f>
        <v>—</v>
      </c>
      <c r="B704" s="66" t="s">
        <v>6791</v>
      </c>
      <c r="C704" s="53" t="n">
        <v>9</v>
      </c>
      <c r="D704" s="53" t="s">
        <v>6792</v>
      </c>
      <c r="E704" s="53" t="s">
        <v>6792</v>
      </c>
      <c r="F704" s="54" t="s">
        <v>587</v>
      </c>
    </row>
    <row r="705" customFormat="false" ht="15" hidden="false" customHeight="false" outlineLevel="0" collapsed="false">
      <c r="A705" s="85" t="str">
        <f aca="false">Gov_Map!$H10&amp;""</f>
        <v>—</v>
      </c>
      <c r="B705" s="66" t="s">
        <v>6791</v>
      </c>
      <c r="C705" s="53" t="n">
        <v>10</v>
      </c>
      <c r="D705" s="53" t="s">
        <v>6792</v>
      </c>
      <c r="E705" s="53" t="s">
        <v>6792</v>
      </c>
      <c r="F705" s="54" t="s">
        <v>587</v>
      </c>
    </row>
    <row r="706" customFormat="false" ht="15" hidden="false" customHeight="false" outlineLevel="0" collapsed="false">
      <c r="A706" s="85" t="str">
        <f aca="false">Gov_Map!$H11&amp;""</f>
        <v>—</v>
      </c>
      <c r="B706" s="66" t="s">
        <v>6791</v>
      </c>
      <c r="C706" s="53" t="n">
        <v>11</v>
      </c>
      <c r="D706" s="53" t="s">
        <v>6792</v>
      </c>
      <c r="E706" s="53" t="s">
        <v>6792</v>
      </c>
      <c r="F706" s="54" t="s">
        <v>587</v>
      </c>
    </row>
    <row r="707" customFormat="false" ht="15" hidden="false" customHeight="false" outlineLevel="0" collapsed="false">
      <c r="A707" s="85" t="str">
        <f aca="false">Gov_Map!$H12&amp;""</f>
        <v>—</v>
      </c>
      <c r="B707" s="66" t="s">
        <v>6791</v>
      </c>
      <c r="C707" s="53" t="n">
        <v>12</v>
      </c>
      <c r="D707" s="53" t="s">
        <v>6792</v>
      </c>
      <c r="E707" s="53" t="s">
        <v>6792</v>
      </c>
      <c r="F707" s="54" t="s">
        <v>587</v>
      </c>
    </row>
    <row r="708" customFormat="false" ht="15" hidden="false" customHeight="false" outlineLevel="0" collapsed="false">
      <c r="A708" s="85" t="str">
        <f aca="false">Gov_Map!$H13&amp;""</f>
        <v>—</v>
      </c>
      <c r="B708" s="66" t="s">
        <v>6791</v>
      </c>
      <c r="C708" s="53" t="n">
        <v>13</v>
      </c>
      <c r="D708" s="53" t="s">
        <v>6792</v>
      </c>
      <c r="E708" s="53" t="s">
        <v>6792</v>
      </c>
      <c r="F708" s="54" t="s">
        <v>587</v>
      </c>
    </row>
    <row r="709" customFormat="false" ht="15" hidden="false" customHeight="false" outlineLevel="0" collapsed="false">
      <c r="A709" s="85" t="str">
        <f aca="false">Gov_Map!$H14&amp;""</f>
        <v>SRC_DC_006</v>
      </c>
      <c r="B709" s="66" t="s">
        <v>6791</v>
      </c>
      <c r="C709" s="53" t="n">
        <v>14</v>
      </c>
      <c r="D709" s="53" t="s">
        <v>6792</v>
      </c>
      <c r="E709" s="53" t="s">
        <v>6792</v>
      </c>
      <c r="F709" s="54" t="s">
        <v>587</v>
      </c>
    </row>
    <row r="710" customFormat="false" ht="15" hidden="false" customHeight="false" outlineLevel="0" collapsed="false">
      <c r="A710" s="85" t="str">
        <f aca="false">Gov_Map!$H15&amp;""</f>
        <v>SRC_DC_006</v>
      </c>
      <c r="B710" s="66" t="s">
        <v>6791</v>
      </c>
      <c r="C710" s="53" t="n">
        <v>15</v>
      </c>
      <c r="D710" s="53" t="s">
        <v>6792</v>
      </c>
      <c r="E710" s="53" t="s">
        <v>6792</v>
      </c>
      <c r="F710" s="54" t="s">
        <v>587</v>
      </c>
    </row>
    <row r="711" customFormat="false" ht="15" hidden="false" customHeight="false" outlineLevel="0" collapsed="false">
      <c r="A711" s="85" t="str">
        <f aca="false">Gov_Map!$H16&amp;""</f>
        <v>SRC_DC_006</v>
      </c>
      <c r="B711" s="66" t="s">
        <v>6791</v>
      </c>
      <c r="C711" s="53" t="n">
        <v>16</v>
      </c>
      <c r="D711" s="53" t="s">
        <v>6792</v>
      </c>
      <c r="E711" s="53" t="s">
        <v>6792</v>
      </c>
      <c r="F711" s="54" t="s">
        <v>587</v>
      </c>
    </row>
    <row r="712" customFormat="false" ht="15" hidden="false" customHeight="false" outlineLevel="0" collapsed="false">
      <c r="A712" s="85" t="str">
        <f aca="false">Gov_Map!$H17&amp;""</f>
        <v>SRC_DC_001</v>
      </c>
      <c r="B712" s="66" t="s">
        <v>6791</v>
      </c>
      <c r="C712" s="53" t="n">
        <v>17</v>
      </c>
      <c r="D712" s="53" t="s">
        <v>6792</v>
      </c>
      <c r="E712" s="53" t="s">
        <v>6792</v>
      </c>
      <c r="F712" s="54" t="s">
        <v>587</v>
      </c>
    </row>
    <row r="713" customFormat="false" ht="15" hidden="false" customHeight="false" outlineLevel="0" collapsed="false">
      <c r="A713" s="85" t="str">
        <f aca="false">Gov_Map!$H18&amp;""</f>
        <v>SRC_DC_001</v>
      </c>
      <c r="B713" s="66" t="s">
        <v>6791</v>
      </c>
      <c r="C713" s="53" t="n">
        <v>18</v>
      </c>
      <c r="D713" s="53" t="s">
        <v>6792</v>
      </c>
      <c r="E713" s="53" t="s">
        <v>6792</v>
      </c>
      <c r="F713" s="54" t="s">
        <v>587</v>
      </c>
    </row>
    <row r="714" customFormat="false" ht="15" hidden="false" customHeight="false" outlineLevel="0" collapsed="false">
      <c r="A714" s="85" t="str">
        <f aca="false">Gov_Map!$H19&amp;""</f>
        <v>SRC_DC_002</v>
      </c>
      <c r="B714" s="66" t="s">
        <v>6791</v>
      </c>
      <c r="C714" s="53" t="n">
        <v>19</v>
      </c>
      <c r="D714" s="53" t="s">
        <v>6792</v>
      </c>
      <c r="E714" s="53" t="s">
        <v>6792</v>
      </c>
      <c r="F714" s="54" t="s">
        <v>587</v>
      </c>
    </row>
    <row r="715" customFormat="false" ht="15" hidden="false" customHeight="false" outlineLevel="0" collapsed="false">
      <c r="A715" s="85" t="str">
        <f aca="false">Gov_Map!$H20&amp;""</f>
        <v>—</v>
      </c>
      <c r="B715" s="66" t="s">
        <v>6791</v>
      </c>
      <c r="C715" s="53" t="n">
        <v>20</v>
      </c>
      <c r="D715" s="53" t="s">
        <v>6792</v>
      </c>
      <c r="E715" s="53" t="s">
        <v>6792</v>
      </c>
      <c r="F715" s="54" t="s">
        <v>587</v>
      </c>
    </row>
    <row r="716" customFormat="false" ht="15" hidden="false" customHeight="false" outlineLevel="0" collapsed="false">
      <c r="A716" s="85" t="str">
        <f aca="false">Gov_Map!$H21&amp;""</f>
        <v>—</v>
      </c>
      <c r="B716" s="66" t="s">
        <v>6791</v>
      </c>
      <c r="C716" s="53" t="n">
        <v>21</v>
      </c>
      <c r="D716" s="53" t="s">
        <v>6792</v>
      </c>
      <c r="E716" s="53" t="s">
        <v>6792</v>
      </c>
      <c r="F716" s="54" t="s">
        <v>587</v>
      </c>
    </row>
    <row r="717" customFormat="false" ht="15" hidden="false" customHeight="false" outlineLevel="0" collapsed="false">
      <c r="A717" s="85" t="str">
        <f aca="false">Gov_Map!$H22&amp;""</f>
        <v>—</v>
      </c>
      <c r="B717" s="66" t="s">
        <v>6791</v>
      </c>
      <c r="C717" s="53" t="n">
        <v>22</v>
      </c>
      <c r="D717" s="53" t="s">
        <v>6792</v>
      </c>
      <c r="E717" s="53" t="s">
        <v>6792</v>
      </c>
      <c r="F717" s="54" t="s">
        <v>587</v>
      </c>
    </row>
    <row r="718" customFormat="false" ht="15" hidden="false" customHeight="false" outlineLevel="0" collapsed="false">
      <c r="A718" s="85" t="str">
        <f aca="false">Gov_Map!$H23&amp;""</f>
        <v>—</v>
      </c>
      <c r="B718" s="66" t="s">
        <v>6791</v>
      </c>
      <c r="C718" s="53" t="n">
        <v>23</v>
      </c>
      <c r="D718" s="53" t="s">
        <v>6792</v>
      </c>
      <c r="E718" s="53" t="s">
        <v>6792</v>
      </c>
      <c r="F718" s="54" t="s">
        <v>587</v>
      </c>
    </row>
    <row r="719" customFormat="false" ht="15" hidden="false" customHeight="false" outlineLevel="0" collapsed="false">
      <c r="A719" s="85" t="str">
        <f aca="false">Gov_Map!$H24&amp;""</f>
        <v>—</v>
      </c>
      <c r="B719" s="66" t="s">
        <v>6791</v>
      </c>
      <c r="C719" s="53" t="n">
        <v>24</v>
      </c>
      <c r="D719" s="53" t="s">
        <v>6792</v>
      </c>
      <c r="E719" s="53" t="s">
        <v>6792</v>
      </c>
      <c r="F719" s="54" t="s">
        <v>587</v>
      </c>
    </row>
    <row r="720" customFormat="false" ht="15" hidden="false" customHeight="false" outlineLevel="0" collapsed="false">
      <c r="A720" s="85" t="str">
        <f aca="false">Gov_Map!$H25&amp;""</f>
        <v>—</v>
      </c>
      <c r="B720" s="66" t="s">
        <v>6791</v>
      </c>
      <c r="C720" s="53" t="n">
        <v>25</v>
      </c>
      <c r="D720" s="53" t="s">
        <v>6792</v>
      </c>
      <c r="E720" s="53" t="s">
        <v>6792</v>
      </c>
      <c r="F720" s="54" t="s">
        <v>587</v>
      </c>
    </row>
    <row r="721" customFormat="false" ht="15" hidden="false" customHeight="false" outlineLevel="0" collapsed="false">
      <c r="A721" s="85" t="str">
        <f aca="false">Gov_Map!$H26&amp;""</f>
        <v>—</v>
      </c>
      <c r="B721" s="66" t="s">
        <v>6791</v>
      </c>
      <c r="C721" s="53" t="n">
        <v>26</v>
      </c>
      <c r="D721" s="53" t="s">
        <v>6792</v>
      </c>
      <c r="E721" s="53" t="s">
        <v>6792</v>
      </c>
      <c r="F721" s="54" t="s">
        <v>587</v>
      </c>
    </row>
    <row r="722" customFormat="false" ht="15" hidden="false" customHeight="false" outlineLevel="0" collapsed="false">
      <c r="A722" s="85" t="str">
        <f aca="false">Gov_Map!$H27&amp;""</f>
        <v>—</v>
      </c>
      <c r="B722" s="66" t="s">
        <v>6791</v>
      </c>
      <c r="C722" s="53" t="n">
        <v>27</v>
      </c>
      <c r="D722" s="53" t="s">
        <v>6792</v>
      </c>
      <c r="E722" s="53" t="s">
        <v>6792</v>
      </c>
      <c r="F722" s="54" t="s">
        <v>587</v>
      </c>
    </row>
    <row r="723" customFormat="false" ht="15" hidden="false" customHeight="false" outlineLevel="0" collapsed="false">
      <c r="A723" s="85" t="str">
        <f aca="false">Gov_Map!$H28&amp;""</f>
        <v>—</v>
      </c>
      <c r="B723" s="66" t="s">
        <v>6791</v>
      </c>
      <c r="C723" s="53" t="n">
        <v>28</v>
      </c>
      <c r="D723" s="53" t="s">
        <v>6792</v>
      </c>
      <c r="E723" s="53" t="s">
        <v>6792</v>
      </c>
      <c r="F723" s="54" t="s">
        <v>587</v>
      </c>
    </row>
    <row r="724" customFormat="false" ht="15" hidden="false" customHeight="false" outlineLevel="0" collapsed="false">
      <c r="A724" s="85" t="str">
        <f aca="false">Gov_Map!$H29&amp;""</f>
        <v>—</v>
      </c>
      <c r="B724" s="66" t="s">
        <v>6791</v>
      </c>
      <c r="C724" s="53" t="n">
        <v>29</v>
      </c>
      <c r="D724" s="53" t="s">
        <v>6792</v>
      </c>
      <c r="E724" s="53" t="s">
        <v>6792</v>
      </c>
      <c r="F724" s="54" t="s">
        <v>587</v>
      </c>
    </row>
    <row r="725" customFormat="false" ht="15" hidden="false" customHeight="false" outlineLevel="0" collapsed="false">
      <c r="A725" s="85" t="str">
        <f aca="false">Gov_Map!$H30&amp;""</f>
        <v>—</v>
      </c>
      <c r="B725" s="66" t="s">
        <v>6791</v>
      </c>
      <c r="C725" s="53" t="n">
        <v>30</v>
      </c>
      <c r="D725" s="53" t="s">
        <v>6792</v>
      </c>
      <c r="E725" s="53" t="s">
        <v>6792</v>
      </c>
      <c r="F725" s="54" t="s">
        <v>587</v>
      </c>
    </row>
    <row r="726" customFormat="false" ht="15" hidden="false" customHeight="false" outlineLevel="0" collapsed="false">
      <c r="A726" s="85" t="str">
        <f aca="false">Gov_Map!$H31&amp;""</f>
        <v>—</v>
      </c>
      <c r="B726" s="66" t="s">
        <v>6791</v>
      </c>
      <c r="C726" s="53" t="n">
        <v>31</v>
      </c>
      <c r="D726" s="53" t="s">
        <v>6792</v>
      </c>
      <c r="E726" s="53" t="s">
        <v>6792</v>
      </c>
      <c r="F726" s="54" t="s">
        <v>587</v>
      </c>
    </row>
    <row r="727" customFormat="false" ht="15" hidden="false" customHeight="false" outlineLevel="0" collapsed="false">
      <c r="A727" s="85" t="str">
        <f aca="false">Gov_Map!$H32&amp;""</f>
        <v>—</v>
      </c>
      <c r="B727" s="66" t="s">
        <v>6791</v>
      </c>
      <c r="C727" s="53" t="n">
        <v>32</v>
      </c>
      <c r="D727" s="53" t="s">
        <v>6792</v>
      </c>
      <c r="E727" s="53" t="s">
        <v>6792</v>
      </c>
      <c r="F727" s="54" t="s">
        <v>587</v>
      </c>
    </row>
    <row r="728" customFormat="false" ht="15" hidden="false" customHeight="false" outlineLevel="0" collapsed="false">
      <c r="A728" s="85" t="str">
        <f aca="false">Gov_Map!$H33&amp;""</f>
        <v>—</v>
      </c>
      <c r="B728" s="66" t="s">
        <v>6791</v>
      </c>
      <c r="C728" s="53" t="n">
        <v>33</v>
      </c>
      <c r="D728" s="53" t="s">
        <v>6792</v>
      </c>
      <c r="E728" s="53" t="s">
        <v>6792</v>
      </c>
      <c r="F728" s="54" t="s">
        <v>587</v>
      </c>
    </row>
    <row r="729" customFormat="false" ht="15" hidden="false" customHeight="false" outlineLevel="0" collapsed="false">
      <c r="A729" s="85" t="str">
        <f aca="false">Gov_Map!$H34&amp;""</f>
        <v>—</v>
      </c>
      <c r="B729" s="66" t="s">
        <v>6791</v>
      </c>
      <c r="C729" s="53" t="n">
        <v>34</v>
      </c>
      <c r="D729" s="53" t="s">
        <v>6792</v>
      </c>
      <c r="E729" s="53" t="s">
        <v>6792</v>
      </c>
      <c r="F729" s="54" t="s">
        <v>587</v>
      </c>
    </row>
    <row r="730" customFormat="false" ht="15" hidden="false" customHeight="false" outlineLevel="0" collapsed="false">
      <c r="A730" s="85" t="str">
        <f aca="false">Gov_Map!$H35&amp;""</f>
        <v>—</v>
      </c>
      <c r="B730" s="66" t="s">
        <v>6791</v>
      </c>
      <c r="C730" s="53" t="n">
        <v>35</v>
      </c>
      <c r="D730" s="53" t="s">
        <v>6792</v>
      </c>
      <c r="E730" s="53" t="s">
        <v>6792</v>
      </c>
      <c r="F730" s="54" t="s">
        <v>587</v>
      </c>
    </row>
    <row r="731" customFormat="false" ht="15" hidden="false" customHeight="false" outlineLevel="0" collapsed="false">
      <c r="A731" s="85" t="str">
        <f aca="false">Gov_Map!$H36&amp;""</f>
        <v>—</v>
      </c>
      <c r="B731" s="66" t="s">
        <v>6791</v>
      </c>
      <c r="C731" s="53" t="n">
        <v>36</v>
      </c>
      <c r="D731" s="53" t="s">
        <v>6792</v>
      </c>
      <c r="E731" s="53" t="s">
        <v>6792</v>
      </c>
      <c r="F731" s="54" t="s">
        <v>587</v>
      </c>
    </row>
    <row r="732" customFormat="false" ht="15" hidden="false" customHeight="false" outlineLevel="0" collapsed="false">
      <c r="A732" s="85" t="str">
        <f aca="false">Gov_Map!$H37&amp;""</f>
        <v>—</v>
      </c>
      <c r="B732" s="66" t="s">
        <v>6791</v>
      </c>
      <c r="C732" s="53" t="n">
        <v>37</v>
      </c>
      <c r="D732" s="53" t="s">
        <v>6792</v>
      </c>
      <c r="E732" s="53" t="s">
        <v>6792</v>
      </c>
      <c r="F732" s="54" t="s">
        <v>587</v>
      </c>
    </row>
    <row r="733" customFormat="false" ht="15" hidden="false" customHeight="false" outlineLevel="0" collapsed="false">
      <c r="A733" s="85" t="str">
        <f aca="false">Gov_Map!$H38&amp;""</f>
        <v>—</v>
      </c>
      <c r="B733" s="66" t="s">
        <v>6791</v>
      </c>
      <c r="C733" s="53" t="n">
        <v>38</v>
      </c>
      <c r="D733" s="53" t="s">
        <v>6792</v>
      </c>
      <c r="E733" s="53" t="s">
        <v>6792</v>
      </c>
      <c r="F733" s="54" t="s">
        <v>587</v>
      </c>
    </row>
    <row r="734" customFormat="false" ht="15" hidden="false" customHeight="false" outlineLevel="0" collapsed="false">
      <c r="A734" s="85" t="str">
        <f aca="false">Gov_Map!$H39&amp;""</f>
        <v>—</v>
      </c>
      <c r="B734" s="66" t="s">
        <v>6791</v>
      </c>
      <c r="C734" s="53" t="n">
        <v>39</v>
      </c>
      <c r="D734" s="53" t="s">
        <v>6792</v>
      </c>
      <c r="E734" s="53" t="s">
        <v>6792</v>
      </c>
      <c r="F734" s="54" t="s">
        <v>587</v>
      </c>
    </row>
    <row r="735" customFormat="false" ht="15" hidden="false" customHeight="false" outlineLevel="0" collapsed="false">
      <c r="A735" s="85" t="str">
        <f aca="false">Gov_Map!$H40&amp;""</f>
        <v>—</v>
      </c>
      <c r="B735" s="66" t="s">
        <v>6791</v>
      </c>
      <c r="C735" s="53" t="n">
        <v>40</v>
      </c>
      <c r="D735" s="53" t="s">
        <v>6792</v>
      </c>
      <c r="E735" s="53" t="s">
        <v>6792</v>
      </c>
      <c r="F735" s="54" t="s">
        <v>587</v>
      </c>
    </row>
    <row r="736" customFormat="false" ht="15" hidden="false" customHeight="false" outlineLevel="0" collapsed="false">
      <c r="A736" s="85" t="str">
        <f aca="false">Gov_Map!$H41&amp;""</f>
        <v>—</v>
      </c>
      <c r="B736" s="66" t="s">
        <v>6791</v>
      </c>
      <c r="C736" s="53" t="n">
        <v>41</v>
      </c>
      <c r="D736" s="53" t="s">
        <v>6792</v>
      </c>
      <c r="E736" s="53" t="s">
        <v>6792</v>
      </c>
      <c r="F736" s="54" t="s">
        <v>587</v>
      </c>
    </row>
    <row r="737" customFormat="false" ht="15" hidden="false" customHeight="false" outlineLevel="0" collapsed="false">
      <c r="A737" s="85" t="str">
        <f aca="false">Gov_Map!$H42&amp;""</f>
        <v>—</v>
      </c>
      <c r="B737" s="66" t="s">
        <v>6791</v>
      </c>
      <c r="C737" s="53" t="n">
        <v>42</v>
      </c>
      <c r="D737" s="53" t="s">
        <v>6792</v>
      </c>
      <c r="E737" s="53" t="s">
        <v>6792</v>
      </c>
      <c r="F737" s="54" t="s">
        <v>587</v>
      </c>
    </row>
    <row r="738" customFormat="false" ht="15" hidden="false" customHeight="false" outlineLevel="0" collapsed="false">
      <c r="A738" s="85" t="str">
        <f aca="false">Gov_Map!$H43&amp;""</f>
        <v>—</v>
      </c>
      <c r="B738" s="66" t="s">
        <v>6791</v>
      </c>
      <c r="C738" s="53" t="n">
        <v>43</v>
      </c>
      <c r="D738" s="53" t="s">
        <v>6792</v>
      </c>
      <c r="E738" s="53" t="s">
        <v>6792</v>
      </c>
      <c r="F738" s="54" t="s">
        <v>587</v>
      </c>
    </row>
    <row r="739" customFormat="false" ht="15" hidden="false" customHeight="false" outlineLevel="0" collapsed="false">
      <c r="A739" s="85" t="str">
        <f aca="false">Gov_Map!$H44&amp;""</f>
        <v>—</v>
      </c>
      <c r="B739" s="66" t="s">
        <v>6791</v>
      </c>
      <c r="C739" s="53" t="n">
        <v>44</v>
      </c>
      <c r="D739" s="53" t="s">
        <v>6792</v>
      </c>
      <c r="E739" s="53" t="s">
        <v>6792</v>
      </c>
      <c r="F739" s="54" t="s">
        <v>587</v>
      </c>
    </row>
    <row r="740" customFormat="false" ht="15" hidden="false" customHeight="false" outlineLevel="0" collapsed="false">
      <c r="A740" s="85" t="str">
        <f aca="false">Gov_Map!$H45&amp;""</f>
        <v>—</v>
      </c>
      <c r="B740" s="66" t="s">
        <v>6791</v>
      </c>
      <c r="C740" s="53" t="n">
        <v>45</v>
      </c>
      <c r="D740" s="53" t="s">
        <v>6792</v>
      </c>
      <c r="E740" s="53" t="s">
        <v>6792</v>
      </c>
      <c r="F740" s="54" t="s">
        <v>587</v>
      </c>
    </row>
    <row r="741" customFormat="false" ht="15" hidden="false" customHeight="false" outlineLevel="0" collapsed="false">
      <c r="A741" s="85" t="str">
        <f aca="false">Gov_Map!$H46&amp;""</f>
        <v>—</v>
      </c>
      <c r="B741" s="66" t="s">
        <v>6791</v>
      </c>
      <c r="C741" s="53" t="n">
        <v>46</v>
      </c>
      <c r="D741" s="53" t="s">
        <v>6792</v>
      </c>
      <c r="E741" s="53" t="s">
        <v>6792</v>
      </c>
      <c r="F741" s="54" t="s">
        <v>587</v>
      </c>
    </row>
    <row r="742" customFormat="false" ht="15" hidden="false" customHeight="false" outlineLevel="0" collapsed="false">
      <c r="A742" s="85" t="str">
        <f aca="false">Gov_Map!$H47&amp;""</f>
        <v>—</v>
      </c>
      <c r="B742" s="66" t="s">
        <v>6791</v>
      </c>
      <c r="C742" s="53" t="n">
        <v>47</v>
      </c>
      <c r="D742" s="53" t="s">
        <v>6792</v>
      </c>
      <c r="E742" s="53" t="s">
        <v>6792</v>
      </c>
      <c r="F742" s="54" t="s">
        <v>587</v>
      </c>
    </row>
    <row r="743" customFormat="false" ht="15" hidden="false" customHeight="false" outlineLevel="0" collapsed="false">
      <c r="A743" s="85" t="str">
        <f aca="false">Gov_Map!$H48&amp;""</f>
        <v>—</v>
      </c>
      <c r="B743" s="66" t="s">
        <v>6791</v>
      </c>
      <c r="C743" s="53" t="n">
        <v>48</v>
      </c>
      <c r="D743" s="53" t="s">
        <v>6792</v>
      </c>
      <c r="E743" s="53" t="s">
        <v>6792</v>
      </c>
      <c r="F743" s="54" t="s">
        <v>587</v>
      </c>
    </row>
    <row r="744" customFormat="false" ht="15" hidden="false" customHeight="false" outlineLevel="0" collapsed="false">
      <c r="A744" s="85" t="str">
        <f aca="false">Gov_Map!$H49&amp;""</f>
        <v>—</v>
      </c>
      <c r="B744" s="66" t="s">
        <v>6791</v>
      </c>
      <c r="C744" s="53" t="n">
        <v>49</v>
      </c>
      <c r="D744" s="53" t="s">
        <v>6792</v>
      </c>
      <c r="E744" s="53" t="s">
        <v>6792</v>
      </c>
      <c r="F744" s="54" t="s">
        <v>587</v>
      </c>
    </row>
    <row r="745" customFormat="false" ht="15" hidden="false" customHeight="false" outlineLevel="0" collapsed="false">
      <c r="A745" s="85" t="str">
        <f aca="false">Gov_Map!$H50&amp;""</f>
        <v>—</v>
      </c>
      <c r="B745" s="66" t="s">
        <v>6791</v>
      </c>
      <c r="C745" s="53" t="n">
        <v>50</v>
      </c>
      <c r="D745" s="53" t="s">
        <v>6792</v>
      </c>
      <c r="E745" s="53" t="s">
        <v>6792</v>
      </c>
      <c r="F745" s="54" t="s">
        <v>587</v>
      </c>
    </row>
    <row r="746" customFormat="false" ht="15" hidden="false" customHeight="false" outlineLevel="0" collapsed="false">
      <c r="A746" s="85" t="str">
        <f aca="false">Gov_Map!$H51&amp;""</f>
        <v>—</v>
      </c>
      <c r="B746" s="66" t="s">
        <v>6791</v>
      </c>
      <c r="C746" s="53" t="n">
        <v>51</v>
      </c>
      <c r="D746" s="53" t="s">
        <v>6792</v>
      </c>
      <c r="E746" s="53" t="s">
        <v>6792</v>
      </c>
      <c r="F746" s="54" t="s">
        <v>587</v>
      </c>
    </row>
    <row r="747" customFormat="false" ht="15" hidden="false" customHeight="false" outlineLevel="0" collapsed="false">
      <c r="A747" s="85" t="str">
        <f aca="false">Gov_Map!$H52&amp;""</f>
        <v>—</v>
      </c>
      <c r="B747" s="66" t="s">
        <v>6791</v>
      </c>
      <c r="C747" s="53" t="n">
        <v>52</v>
      </c>
      <c r="D747" s="53" t="s">
        <v>6792</v>
      </c>
      <c r="E747" s="53" t="s">
        <v>6792</v>
      </c>
      <c r="F747" s="54" t="s">
        <v>587</v>
      </c>
    </row>
    <row r="748" customFormat="false" ht="15" hidden="false" customHeight="false" outlineLevel="0" collapsed="false">
      <c r="A748" s="85" t="str">
        <f aca="false">Gov_Map!$H53&amp;""</f>
        <v>—</v>
      </c>
      <c r="B748" s="66" t="s">
        <v>6791</v>
      </c>
      <c r="C748" s="53" t="n">
        <v>53</v>
      </c>
      <c r="D748" s="53" t="s">
        <v>6792</v>
      </c>
      <c r="E748" s="53" t="s">
        <v>6792</v>
      </c>
      <c r="F748" s="54" t="s">
        <v>587</v>
      </c>
    </row>
    <row r="749" customFormat="false" ht="15" hidden="false" customHeight="false" outlineLevel="0" collapsed="false">
      <c r="A749" s="85" t="str">
        <f aca="false">Gov_Map!$H54&amp;""</f>
        <v>—</v>
      </c>
      <c r="B749" s="66" t="s">
        <v>6791</v>
      </c>
      <c r="C749" s="53" t="n">
        <v>54</v>
      </c>
      <c r="D749" s="53" t="s">
        <v>6792</v>
      </c>
      <c r="E749" s="53" t="s">
        <v>6792</v>
      </c>
      <c r="F749" s="54" t="s">
        <v>587</v>
      </c>
    </row>
    <row r="750" customFormat="false" ht="15" hidden="false" customHeight="false" outlineLevel="0" collapsed="false">
      <c r="A750" s="85" t="str">
        <f aca="false">Gov_Map!$H55&amp;""</f>
        <v>—</v>
      </c>
      <c r="B750" s="66" t="s">
        <v>6791</v>
      </c>
      <c r="C750" s="53" t="n">
        <v>55</v>
      </c>
      <c r="D750" s="53" t="s">
        <v>6792</v>
      </c>
      <c r="E750" s="53" t="s">
        <v>6792</v>
      </c>
      <c r="F750" s="54" t="s">
        <v>587</v>
      </c>
    </row>
    <row r="751" customFormat="false" ht="15" hidden="false" customHeight="false" outlineLevel="0" collapsed="false">
      <c r="A751" s="85" t="str">
        <f aca="false">Gov_Map!$H56&amp;""</f>
        <v>—</v>
      </c>
      <c r="B751" s="66" t="s">
        <v>6791</v>
      </c>
      <c r="C751" s="53" t="n">
        <v>56</v>
      </c>
      <c r="D751" s="53" t="s">
        <v>6792</v>
      </c>
      <c r="E751" s="53" t="s">
        <v>6792</v>
      </c>
      <c r="F751" s="54" t="s">
        <v>587</v>
      </c>
    </row>
    <row r="752" customFormat="false" ht="15" hidden="false" customHeight="false" outlineLevel="0" collapsed="false">
      <c r="A752" s="85" t="str">
        <f aca="false">Gov_Map!$H57&amp;""</f>
        <v>—</v>
      </c>
      <c r="B752" s="66" t="s">
        <v>6791</v>
      </c>
      <c r="C752" s="53" t="n">
        <v>57</v>
      </c>
      <c r="D752" s="53" t="s">
        <v>6792</v>
      </c>
      <c r="E752" s="53" t="s">
        <v>6792</v>
      </c>
      <c r="F752" s="54" t="s">
        <v>587</v>
      </c>
    </row>
    <row r="753" customFormat="false" ht="15" hidden="false" customHeight="false" outlineLevel="0" collapsed="false">
      <c r="A753" s="85" t="str">
        <f aca="false">Gov_Map!$H58&amp;""</f>
        <v>—</v>
      </c>
      <c r="B753" s="66" t="s">
        <v>6791</v>
      </c>
      <c r="C753" s="53" t="n">
        <v>58</v>
      </c>
      <c r="D753" s="53" t="s">
        <v>6792</v>
      </c>
      <c r="E753" s="53" t="s">
        <v>6792</v>
      </c>
      <c r="F753" s="54" t="s">
        <v>587</v>
      </c>
    </row>
    <row r="754" customFormat="false" ht="15" hidden="false" customHeight="false" outlineLevel="0" collapsed="false">
      <c r="A754" s="85" t="str">
        <f aca="false">Gov_Map!$H59&amp;""</f>
        <v>—</v>
      </c>
      <c r="B754" s="66" t="s">
        <v>6791</v>
      </c>
      <c r="C754" s="53" t="n">
        <v>59</v>
      </c>
      <c r="D754" s="53" t="s">
        <v>6792</v>
      </c>
      <c r="E754" s="53" t="s">
        <v>6792</v>
      </c>
      <c r="F754" s="54" t="s">
        <v>587</v>
      </c>
    </row>
    <row r="755" customFormat="false" ht="15" hidden="false" customHeight="false" outlineLevel="0" collapsed="false">
      <c r="A755" s="85" t="str">
        <f aca="false">Gov_Map!$H60&amp;""</f>
        <v>—</v>
      </c>
      <c r="B755" s="66" t="s">
        <v>6791</v>
      </c>
      <c r="C755" s="53" t="n">
        <v>60</v>
      </c>
      <c r="D755" s="53" t="s">
        <v>6792</v>
      </c>
      <c r="E755" s="53" t="s">
        <v>6792</v>
      </c>
      <c r="F755" s="54" t="s">
        <v>587</v>
      </c>
    </row>
    <row r="756" customFormat="false" ht="15" hidden="false" customHeight="false" outlineLevel="0" collapsed="false">
      <c r="A756" s="85" t="str">
        <f aca="false">Gov_Map!$H61&amp;""</f>
        <v>—</v>
      </c>
      <c r="B756" s="66" t="s">
        <v>6791</v>
      </c>
      <c r="C756" s="53" t="n">
        <v>61</v>
      </c>
      <c r="D756" s="53" t="s">
        <v>6792</v>
      </c>
      <c r="E756" s="53" t="s">
        <v>6792</v>
      </c>
      <c r="F756" s="54" t="s">
        <v>587</v>
      </c>
    </row>
    <row r="757" customFormat="false" ht="15" hidden="false" customHeight="false" outlineLevel="0" collapsed="false">
      <c r="A757" s="85" t="str">
        <f aca="false">Gov_Map!$H62&amp;""</f>
        <v>SRC_DC_007</v>
      </c>
      <c r="B757" s="66" t="s">
        <v>6791</v>
      </c>
      <c r="C757" s="53" t="n">
        <v>62</v>
      </c>
      <c r="D757" s="53" t="s">
        <v>6792</v>
      </c>
      <c r="E757" s="53" t="s">
        <v>6792</v>
      </c>
      <c r="F757" s="54" t="s">
        <v>587</v>
      </c>
    </row>
    <row r="758" customFormat="false" ht="15" hidden="false" customHeight="false" outlineLevel="0" collapsed="false">
      <c r="A758" s="85" t="str">
        <f aca="false">Gov_Map!$H63&amp;""</f>
        <v>SRC_DC_007</v>
      </c>
      <c r="B758" s="66" t="s">
        <v>6791</v>
      </c>
      <c r="C758" s="53" t="n">
        <v>63</v>
      </c>
      <c r="D758" s="53" t="s">
        <v>6792</v>
      </c>
      <c r="E758" s="53" t="s">
        <v>6792</v>
      </c>
      <c r="F758" s="54" t="s">
        <v>587</v>
      </c>
    </row>
    <row r="759" customFormat="false" ht="15" hidden="false" customHeight="false" outlineLevel="0" collapsed="false">
      <c r="A759" s="85" t="str">
        <f aca="false">Gov_Map!$H64&amp;""</f>
        <v>SRC_DC_008</v>
      </c>
      <c r="B759" s="66" t="s">
        <v>6791</v>
      </c>
      <c r="C759" s="53" t="n">
        <v>64</v>
      </c>
      <c r="D759" s="53" t="s">
        <v>6792</v>
      </c>
      <c r="E759" s="53" t="s">
        <v>6792</v>
      </c>
      <c r="F759" s="54" t="s">
        <v>587</v>
      </c>
    </row>
    <row r="760" customFormat="false" ht="15" hidden="false" customHeight="false" outlineLevel="0" collapsed="false">
      <c r="A760" s="85" t="str">
        <f aca="false">Gov_Map!$H65&amp;""</f>
        <v>—</v>
      </c>
      <c r="B760" s="66" t="s">
        <v>6791</v>
      </c>
      <c r="C760" s="53" t="n">
        <v>65</v>
      </c>
      <c r="D760" s="53" t="s">
        <v>6792</v>
      </c>
      <c r="E760" s="53" t="s">
        <v>6792</v>
      </c>
      <c r="F760" s="54" t="s">
        <v>587</v>
      </c>
    </row>
    <row r="761" customFormat="false" ht="15" hidden="false" customHeight="false" outlineLevel="0" collapsed="false">
      <c r="A761" s="85" t="str">
        <f aca="false">Gov_Map!$H66&amp;""</f>
        <v>—</v>
      </c>
      <c r="B761" s="66" t="s">
        <v>6791</v>
      </c>
      <c r="C761" s="53" t="n">
        <v>66</v>
      </c>
      <c r="D761" s="53" t="s">
        <v>6792</v>
      </c>
      <c r="E761" s="53" t="s">
        <v>6792</v>
      </c>
      <c r="F761" s="54" t="s">
        <v>587</v>
      </c>
    </row>
    <row r="762" customFormat="false" ht="15" hidden="false" customHeight="false" outlineLevel="0" collapsed="false">
      <c r="A762" s="85" t="str">
        <f aca="false">Gov_Map!$H67&amp;""</f>
        <v>—</v>
      </c>
      <c r="B762" s="66" t="s">
        <v>6791</v>
      </c>
      <c r="C762" s="53" t="n">
        <v>67</v>
      </c>
      <c r="D762" s="53" t="s">
        <v>6792</v>
      </c>
      <c r="E762" s="53" t="s">
        <v>6792</v>
      </c>
      <c r="F762" s="54" t="s">
        <v>587</v>
      </c>
    </row>
    <row r="763" customFormat="false" ht="15" hidden="false" customHeight="false" outlineLevel="0" collapsed="false">
      <c r="A763" s="85" t="str">
        <f aca="false">Gov_Map!$H68&amp;""</f>
        <v>—</v>
      </c>
      <c r="B763" s="66" t="s">
        <v>6791</v>
      </c>
      <c r="C763" s="53" t="n">
        <v>68</v>
      </c>
      <c r="D763" s="53" t="s">
        <v>6792</v>
      </c>
      <c r="E763" s="53" t="s">
        <v>6792</v>
      </c>
      <c r="F763" s="54" t="s">
        <v>587</v>
      </c>
    </row>
    <row r="764" customFormat="false" ht="15" hidden="false" customHeight="false" outlineLevel="0" collapsed="false">
      <c r="A764" s="85" t="str">
        <f aca="false">Gov_Map!$H69&amp;""</f>
        <v>—</v>
      </c>
      <c r="B764" s="66" t="s">
        <v>6791</v>
      </c>
      <c r="C764" s="53" t="n">
        <v>69</v>
      </c>
      <c r="D764" s="53" t="s">
        <v>6792</v>
      </c>
      <c r="E764" s="53" t="s">
        <v>6792</v>
      </c>
      <c r="F764" s="54" t="s">
        <v>587</v>
      </c>
    </row>
    <row r="765" customFormat="false" ht="15" hidden="false" customHeight="false" outlineLevel="0" collapsed="false">
      <c r="A765" s="85" t="str">
        <f aca="false">Gov_Map!$H70&amp;""</f>
        <v>SRC_HW_047</v>
      </c>
      <c r="B765" s="66" t="s">
        <v>6791</v>
      </c>
      <c r="C765" s="53" t="n">
        <v>70</v>
      </c>
      <c r="D765" s="53" t="s">
        <v>6792</v>
      </c>
      <c r="E765" s="53" t="s">
        <v>6792</v>
      </c>
      <c r="F765" s="54" t="s">
        <v>587</v>
      </c>
    </row>
    <row r="766" customFormat="false" ht="15" hidden="false" customHeight="false" outlineLevel="0" collapsed="false">
      <c r="A766" s="85" t="str">
        <f aca="false">Gov_Map!$H71&amp;""</f>
        <v>SRC_HW_047</v>
      </c>
      <c r="B766" s="66" t="s">
        <v>6791</v>
      </c>
      <c r="C766" s="53" t="n">
        <v>71</v>
      </c>
      <c r="D766" s="53" t="s">
        <v>6792</v>
      </c>
      <c r="E766" s="53" t="s">
        <v>6792</v>
      </c>
      <c r="F766" s="54" t="s">
        <v>587</v>
      </c>
    </row>
    <row r="767" customFormat="false" ht="15" hidden="false" customHeight="false" outlineLevel="0" collapsed="false">
      <c r="A767" s="85" t="str">
        <f aca="false">Gov_Map!$H72&amp;""</f>
        <v>SRC_HW_047</v>
      </c>
      <c r="B767" s="66" t="s">
        <v>6791</v>
      </c>
      <c r="C767" s="53" t="n">
        <v>72</v>
      </c>
      <c r="D767" s="53" t="s">
        <v>6792</v>
      </c>
      <c r="E767" s="53" t="s">
        <v>6792</v>
      </c>
      <c r="F767" s="54" t="s">
        <v>587</v>
      </c>
    </row>
    <row r="768" customFormat="false" ht="15" hidden="false" customHeight="false" outlineLevel="0" collapsed="false">
      <c r="A768" s="85" t="str">
        <f aca="false">Gov_Map!$H73&amp;""</f>
        <v>SRC_HW_061</v>
      </c>
      <c r="B768" s="66" t="s">
        <v>6791</v>
      </c>
      <c r="C768" s="53" t="n">
        <v>73</v>
      </c>
      <c r="D768" s="53" t="s">
        <v>6792</v>
      </c>
      <c r="E768" s="53" t="s">
        <v>6792</v>
      </c>
      <c r="F768" s="54" t="s">
        <v>587</v>
      </c>
    </row>
    <row r="769" customFormat="false" ht="15" hidden="false" customHeight="false" outlineLevel="0" collapsed="false">
      <c r="A769" s="85" t="str">
        <f aca="false">Gov_Map!$H74&amp;""</f>
        <v>—</v>
      </c>
      <c r="B769" s="66" t="s">
        <v>6791</v>
      </c>
      <c r="C769" s="53" t="n">
        <v>74</v>
      </c>
      <c r="D769" s="53" t="s">
        <v>6792</v>
      </c>
      <c r="E769" s="53" t="s">
        <v>6792</v>
      </c>
      <c r="F769" s="54" t="s">
        <v>587</v>
      </c>
    </row>
    <row r="770" customFormat="false" ht="15" hidden="false" customHeight="false" outlineLevel="0" collapsed="false">
      <c r="A770" s="85" t="str">
        <f aca="false">Gov_Map!$H75&amp;""</f>
        <v>SRC_HW_004</v>
      </c>
      <c r="B770" s="66" t="s">
        <v>6791</v>
      </c>
      <c r="C770" s="53" t="n">
        <v>75</v>
      </c>
      <c r="D770" s="53" t="s">
        <v>6792</v>
      </c>
      <c r="E770" s="53" t="s">
        <v>6792</v>
      </c>
      <c r="F770" s="54" t="s">
        <v>587</v>
      </c>
    </row>
    <row r="771" customFormat="false" ht="15" hidden="false" customHeight="false" outlineLevel="0" collapsed="false">
      <c r="A771" s="85" t="str">
        <f aca="false">Gov_Map!$H76&amp;""</f>
        <v>SRC_HW_005</v>
      </c>
      <c r="B771" s="66" t="s">
        <v>6791</v>
      </c>
      <c r="C771" s="53" t="n">
        <v>76</v>
      </c>
      <c r="D771" s="53" t="s">
        <v>6792</v>
      </c>
      <c r="E771" s="53" t="s">
        <v>6792</v>
      </c>
      <c r="F771" s="54" t="s">
        <v>587</v>
      </c>
    </row>
    <row r="772" customFormat="false" ht="15" hidden="false" customHeight="false" outlineLevel="0" collapsed="false">
      <c r="A772" s="85" t="str">
        <f aca="false">Gov_Map!$H77&amp;""</f>
        <v>SRC_HW_011</v>
      </c>
      <c r="B772" s="66" t="s">
        <v>6791</v>
      </c>
      <c r="C772" s="53" t="n">
        <v>77</v>
      </c>
      <c r="D772" s="53" t="s">
        <v>6792</v>
      </c>
      <c r="E772" s="53" t="s">
        <v>6792</v>
      </c>
      <c r="F772" s="54" t="s">
        <v>587</v>
      </c>
    </row>
    <row r="773" customFormat="false" ht="15" hidden="false" customHeight="false" outlineLevel="0" collapsed="false">
      <c r="A773" s="85" t="str">
        <f aca="false">Gov_Map!$H78&amp;""</f>
        <v>—</v>
      </c>
      <c r="B773" s="66" t="s">
        <v>6791</v>
      </c>
      <c r="C773" s="53" t="n">
        <v>78</v>
      </c>
      <c r="D773" s="53" t="s">
        <v>6792</v>
      </c>
      <c r="E773" s="53" t="s">
        <v>6792</v>
      </c>
      <c r="F773" s="54" t="s">
        <v>587</v>
      </c>
    </row>
    <row r="774" customFormat="false" ht="15" hidden="false" customHeight="false" outlineLevel="0" collapsed="false">
      <c r="A774" s="85" t="str">
        <f aca="false">Gov_Map!$H79&amp;""</f>
        <v>SRC_HW_001</v>
      </c>
      <c r="B774" s="66" t="s">
        <v>6791</v>
      </c>
      <c r="C774" s="53" t="n">
        <v>79</v>
      </c>
      <c r="D774" s="53" t="s">
        <v>6792</v>
      </c>
      <c r="E774" s="53" t="s">
        <v>6792</v>
      </c>
      <c r="F774" s="54" t="s">
        <v>587</v>
      </c>
    </row>
    <row r="775" customFormat="false" ht="15" hidden="false" customHeight="false" outlineLevel="0" collapsed="false">
      <c r="A775" s="85" t="str">
        <f aca="false">Gov_Map!$H80&amp;""</f>
        <v>SRC_HW_004</v>
      </c>
      <c r="B775" s="66" t="s">
        <v>6791</v>
      </c>
      <c r="C775" s="53" t="n">
        <v>80</v>
      </c>
      <c r="D775" s="53" t="s">
        <v>6792</v>
      </c>
      <c r="E775" s="53" t="s">
        <v>6792</v>
      </c>
      <c r="F775" s="54" t="s">
        <v>587</v>
      </c>
    </row>
    <row r="776" customFormat="false" ht="15" hidden="false" customHeight="false" outlineLevel="0" collapsed="false">
      <c r="A776" s="85" t="str">
        <f aca="false">Gov_Map!$H81&amp;""</f>
        <v>SRC_HW_005</v>
      </c>
      <c r="B776" s="66" t="s">
        <v>6791</v>
      </c>
      <c r="C776" s="53" t="n">
        <v>81</v>
      </c>
      <c r="D776" s="53" t="s">
        <v>6792</v>
      </c>
      <c r="E776" s="53" t="s">
        <v>6792</v>
      </c>
      <c r="F776" s="54" t="s">
        <v>587</v>
      </c>
    </row>
    <row r="777" customFormat="false" ht="15" hidden="false" customHeight="false" outlineLevel="0" collapsed="false">
      <c r="A777" s="85" t="str">
        <f aca="false">Gov_Map!$H82&amp;""</f>
        <v>SRC_HW_014</v>
      </c>
      <c r="B777" s="66" t="s">
        <v>6791</v>
      </c>
      <c r="C777" s="53" t="n">
        <v>82</v>
      </c>
      <c r="D777" s="53" t="s">
        <v>6792</v>
      </c>
      <c r="E777" s="53" t="s">
        <v>6792</v>
      </c>
      <c r="F777" s="54" t="s">
        <v>587</v>
      </c>
    </row>
    <row r="778" customFormat="false" ht="15" hidden="false" customHeight="false" outlineLevel="0" collapsed="false">
      <c r="A778" s="85" t="str">
        <f aca="false">Gov_Map!$H83&amp;""</f>
        <v>—</v>
      </c>
      <c r="B778" s="66" t="s">
        <v>6791</v>
      </c>
      <c r="C778" s="53" t="n">
        <v>83</v>
      </c>
      <c r="D778" s="53" t="s">
        <v>6792</v>
      </c>
      <c r="E778" s="53" t="s">
        <v>6792</v>
      </c>
      <c r="F778" s="54" t="s">
        <v>587</v>
      </c>
    </row>
    <row r="779" customFormat="false" ht="15" hidden="false" customHeight="false" outlineLevel="0" collapsed="false">
      <c r="A779" s="85" t="str">
        <f aca="false">Gov_Map!$H84&amp;""</f>
        <v>—</v>
      </c>
      <c r="B779" s="66" t="s">
        <v>6791</v>
      </c>
      <c r="C779" s="53" t="n">
        <v>84</v>
      </c>
      <c r="D779" s="53" t="s">
        <v>6792</v>
      </c>
      <c r="E779" s="53" t="s">
        <v>6792</v>
      </c>
      <c r="F779" s="54" t="s">
        <v>587</v>
      </c>
    </row>
    <row r="780" customFormat="false" ht="15" hidden="false" customHeight="false" outlineLevel="0" collapsed="false">
      <c r="A780" s="85" t="str">
        <f aca="false">Gov_Map!$H85&amp;""</f>
        <v>—</v>
      </c>
      <c r="B780" s="66" t="s">
        <v>6791</v>
      </c>
      <c r="C780" s="53" t="n">
        <v>85</v>
      </c>
      <c r="D780" s="53" t="s">
        <v>6792</v>
      </c>
      <c r="E780" s="53" t="s">
        <v>6792</v>
      </c>
      <c r="F780" s="54" t="s">
        <v>587</v>
      </c>
    </row>
    <row r="781" customFormat="false" ht="15" hidden="false" customHeight="false" outlineLevel="0" collapsed="false">
      <c r="A781" s="85" t="str">
        <f aca="false">Gov_Map!$H86&amp;""</f>
        <v>SRC_HW_005</v>
      </c>
      <c r="B781" s="66" t="s">
        <v>6791</v>
      </c>
      <c r="C781" s="53" t="n">
        <v>86</v>
      </c>
      <c r="D781" s="53" t="s">
        <v>6792</v>
      </c>
      <c r="E781" s="53" t="s">
        <v>6792</v>
      </c>
      <c r="F781" s="54" t="s">
        <v>587</v>
      </c>
    </row>
    <row r="782" customFormat="false" ht="15" hidden="false" customHeight="false" outlineLevel="0" collapsed="false">
      <c r="A782" s="85" t="str">
        <f aca="false">Gov_Map!$H87&amp;""</f>
        <v>SRC_HW_012</v>
      </c>
      <c r="B782" s="66" t="s">
        <v>6791</v>
      </c>
      <c r="C782" s="53" t="n">
        <v>87</v>
      </c>
      <c r="D782" s="53" t="s">
        <v>6792</v>
      </c>
      <c r="E782" s="53" t="s">
        <v>6792</v>
      </c>
      <c r="F782" s="54" t="s">
        <v>587</v>
      </c>
    </row>
    <row r="783" customFormat="false" ht="15" hidden="false" customHeight="false" outlineLevel="0" collapsed="false">
      <c r="A783" s="85" t="str">
        <f aca="false">Gov_Map!$H88&amp;""</f>
        <v>—</v>
      </c>
      <c r="B783" s="66" t="s">
        <v>6791</v>
      </c>
      <c r="C783" s="53" t="n">
        <v>88</v>
      </c>
      <c r="D783" s="53" t="s">
        <v>6792</v>
      </c>
      <c r="E783" s="53" t="s">
        <v>6792</v>
      </c>
      <c r="F783" s="54" t="s">
        <v>587</v>
      </c>
    </row>
    <row r="784" customFormat="false" ht="15" hidden="false" customHeight="false" outlineLevel="0" collapsed="false">
      <c r="A784" s="85" t="str">
        <f aca="false">Gov_Map!$H89&amp;""</f>
        <v>SRC_HW_003</v>
      </c>
      <c r="B784" s="66" t="s">
        <v>6791</v>
      </c>
      <c r="C784" s="53" t="n">
        <v>89</v>
      </c>
      <c r="D784" s="53" t="s">
        <v>6792</v>
      </c>
      <c r="E784" s="53" t="s">
        <v>6792</v>
      </c>
      <c r="F784" s="54" t="s">
        <v>587</v>
      </c>
    </row>
    <row r="785" customFormat="false" ht="15" hidden="false" customHeight="false" outlineLevel="0" collapsed="false">
      <c r="A785" s="85" t="str">
        <f aca="false">Gov_Map!$H90&amp;""</f>
        <v>SRC_HW_006</v>
      </c>
      <c r="B785" s="66" t="s">
        <v>6791</v>
      </c>
      <c r="C785" s="53" t="n">
        <v>90</v>
      </c>
      <c r="D785" s="53" t="s">
        <v>6792</v>
      </c>
      <c r="E785" s="53" t="s">
        <v>6792</v>
      </c>
      <c r="F785" s="54" t="s">
        <v>587</v>
      </c>
    </row>
    <row r="786" customFormat="false" ht="15" hidden="false" customHeight="false" outlineLevel="0" collapsed="false">
      <c r="A786" s="85" t="str">
        <f aca="false">Gov_Map!$H91&amp;""</f>
        <v>SRC_HW_052</v>
      </c>
      <c r="B786" s="66" t="s">
        <v>6791</v>
      </c>
      <c r="C786" s="53" t="n">
        <v>91</v>
      </c>
      <c r="D786" s="53" t="s">
        <v>6792</v>
      </c>
      <c r="E786" s="53" t="s">
        <v>6792</v>
      </c>
      <c r="F786" s="54" t="s">
        <v>587</v>
      </c>
    </row>
    <row r="787" customFormat="false" ht="15" hidden="false" customHeight="false" outlineLevel="0" collapsed="false">
      <c r="A787" s="85" t="str">
        <f aca="false">Gov_Map!$H92&amp;""</f>
        <v>SRC_HW_015</v>
      </c>
      <c r="B787" s="66" t="s">
        <v>6791</v>
      </c>
      <c r="C787" s="53" t="n">
        <v>92</v>
      </c>
      <c r="D787" s="53" t="s">
        <v>6792</v>
      </c>
      <c r="E787" s="53" t="s">
        <v>6792</v>
      </c>
      <c r="F787" s="54" t="s">
        <v>587</v>
      </c>
    </row>
    <row r="788" customFormat="false" ht="15" hidden="false" customHeight="false" outlineLevel="0" collapsed="false">
      <c r="A788" s="85" t="str">
        <f aca="false">Gov_Map!$H93&amp;""</f>
        <v>—</v>
      </c>
      <c r="B788" s="66" t="s">
        <v>6791</v>
      </c>
      <c r="C788" s="53" t="n">
        <v>93</v>
      </c>
      <c r="D788" s="53" t="s">
        <v>6792</v>
      </c>
      <c r="E788" s="53" t="s">
        <v>6792</v>
      </c>
      <c r="F788" s="54" t="s">
        <v>587</v>
      </c>
    </row>
    <row r="789" customFormat="false" ht="15" hidden="false" customHeight="false" outlineLevel="0" collapsed="false">
      <c r="A789" s="85" t="str">
        <f aca="false">Gov_Map!$H94&amp;""</f>
        <v>SRC_HW_003</v>
      </c>
      <c r="B789" s="66" t="s">
        <v>6791</v>
      </c>
      <c r="C789" s="53" t="n">
        <v>94</v>
      </c>
      <c r="D789" s="53" t="s">
        <v>6792</v>
      </c>
      <c r="E789" s="53" t="s">
        <v>6792</v>
      </c>
      <c r="F789" s="54" t="s">
        <v>587</v>
      </c>
    </row>
    <row r="790" customFormat="false" ht="15" hidden="false" customHeight="false" outlineLevel="0" collapsed="false">
      <c r="A790" s="85" t="str">
        <f aca="false">Gov_Map!$H95&amp;""</f>
        <v>SRC_HW_006</v>
      </c>
      <c r="B790" s="66" t="s">
        <v>6791</v>
      </c>
      <c r="C790" s="53" t="n">
        <v>95</v>
      </c>
      <c r="D790" s="53" t="s">
        <v>6792</v>
      </c>
      <c r="E790" s="53" t="s">
        <v>6792</v>
      </c>
      <c r="F790" s="54" t="s">
        <v>587</v>
      </c>
    </row>
    <row r="791" customFormat="false" ht="15" hidden="false" customHeight="false" outlineLevel="0" collapsed="false">
      <c r="A791" s="85" t="str">
        <f aca="false">Gov_Map!$H96&amp;""</f>
        <v>SRC_HW_010</v>
      </c>
      <c r="B791" s="66" t="s">
        <v>6791</v>
      </c>
      <c r="C791" s="53" t="n">
        <v>96</v>
      </c>
      <c r="D791" s="53" t="s">
        <v>6792</v>
      </c>
      <c r="E791" s="53" t="s">
        <v>6792</v>
      </c>
      <c r="F791" s="54" t="s">
        <v>587</v>
      </c>
    </row>
    <row r="792" customFormat="false" ht="15" hidden="false" customHeight="false" outlineLevel="0" collapsed="false">
      <c r="A792" s="85" t="str">
        <f aca="false">Gov_Map!$H97&amp;""</f>
        <v>SRC_HW_015</v>
      </c>
      <c r="B792" s="66" t="s">
        <v>6791</v>
      </c>
      <c r="C792" s="53" t="n">
        <v>97</v>
      </c>
      <c r="D792" s="53" t="s">
        <v>6792</v>
      </c>
      <c r="E792" s="53" t="s">
        <v>6792</v>
      </c>
      <c r="F792" s="54" t="s">
        <v>587</v>
      </c>
    </row>
    <row r="793" customFormat="false" ht="15" hidden="false" customHeight="false" outlineLevel="0" collapsed="false">
      <c r="A793" s="85" t="str">
        <f aca="false">Gov_Map!$H98&amp;""</f>
        <v>—</v>
      </c>
      <c r="B793" s="66" t="s">
        <v>6791</v>
      </c>
      <c r="C793" s="53" t="n">
        <v>98</v>
      </c>
      <c r="D793" s="53" t="s">
        <v>6792</v>
      </c>
      <c r="E793" s="53" t="s">
        <v>6792</v>
      </c>
      <c r="F793" s="54" t="s">
        <v>587</v>
      </c>
    </row>
    <row r="794" customFormat="false" ht="15" hidden="false" customHeight="false" outlineLevel="0" collapsed="false">
      <c r="A794" s="85" t="str">
        <f aca="false">Gov_Map!$H99&amp;""</f>
        <v>SRC_HW_003</v>
      </c>
      <c r="B794" s="66" t="s">
        <v>6791</v>
      </c>
      <c r="C794" s="53" t="n">
        <v>99</v>
      </c>
      <c r="D794" s="53" t="s">
        <v>6792</v>
      </c>
      <c r="E794" s="53" t="s">
        <v>6792</v>
      </c>
      <c r="F794" s="54" t="s">
        <v>587</v>
      </c>
    </row>
    <row r="795" customFormat="false" ht="15" hidden="false" customHeight="false" outlineLevel="0" collapsed="false">
      <c r="A795" s="85" t="str">
        <f aca="false">Gov_Map!$H100&amp;""</f>
        <v>SRC_HW_006</v>
      </c>
      <c r="B795" s="66" t="s">
        <v>6791</v>
      </c>
      <c r="C795" s="53" t="n">
        <v>100</v>
      </c>
      <c r="D795" s="53" t="s">
        <v>6792</v>
      </c>
      <c r="E795" s="53" t="s">
        <v>6792</v>
      </c>
      <c r="F795" s="54" t="s">
        <v>587</v>
      </c>
    </row>
    <row r="796" customFormat="false" ht="15" hidden="false" customHeight="false" outlineLevel="0" collapsed="false">
      <c r="A796" s="85" t="str">
        <f aca="false">Gov_Map!$H101&amp;""</f>
        <v>SRC_HW_007</v>
      </c>
      <c r="B796" s="66" t="s">
        <v>6791</v>
      </c>
      <c r="C796" s="53" t="n">
        <v>101</v>
      </c>
      <c r="D796" s="53" t="s">
        <v>6792</v>
      </c>
      <c r="E796" s="53" t="s">
        <v>6792</v>
      </c>
      <c r="F796" s="54" t="s">
        <v>587</v>
      </c>
    </row>
    <row r="797" customFormat="false" ht="15" hidden="false" customHeight="false" outlineLevel="0" collapsed="false">
      <c r="A797" s="85" t="str">
        <f aca="false">Gov_Map!$H102&amp;""</f>
        <v>SRC_HW_017</v>
      </c>
      <c r="B797" s="66" t="s">
        <v>6791</v>
      </c>
      <c r="C797" s="53" t="n">
        <v>102</v>
      </c>
      <c r="D797" s="53" t="s">
        <v>6792</v>
      </c>
      <c r="E797" s="53" t="s">
        <v>6792</v>
      </c>
      <c r="F797" s="54" t="s">
        <v>587</v>
      </c>
    </row>
    <row r="798" customFormat="false" ht="15" hidden="false" customHeight="false" outlineLevel="0" collapsed="false">
      <c r="A798" s="85" t="str">
        <f aca="false">Gov_Map!$H103&amp;""</f>
        <v>—</v>
      </c>
      <c r="B798" s="66" t="s">
        <v>6791</v>
      </c>
      <c r="C798" s="53" t="n">
        <v>103</v>
      </c>
      <c r="D798" s="53" t="s">
        <v>6792</v>
      </c>
      <c r="E798" s="53" t="s">
        <v>6792</v>
      </c>
      <c r="F798" s="54" t="s">
        <v>587</v>
      </c>
    </row>
    <row r="799" customFormat="false" ht="15" hidden="false" customHeight="false" outlineLevel="0" collapsed="false">
      <c r="A799" s="85" t="str">
        <f aca="false">Gov_Map!$H104&amp;""</f>
        <v>SRC_HW_040</v>
      </c>
      <c r="B799" s="66" t="s">
        <v>6791</v>
      </c>
      <c r="C799" s="53" t="n">
        <v>104</v>
      </c>
      <c r="D799" s="53" t="s">
        <v>6792</v>
      </c>
      <c r="E799" s="53" t="s">
        <v>6792</v>
      </c>
      <c r="F799" s="54" t="s">
        <v>587</v>
      </c>
    </row>
    <row r="800" customFormat="false" ht="15" hidden="false" customHeight="false" outlineLevel="0" collapsed="false">
      <c r="A800" s="85" t="str">
        <f aca="false">Gov_Map!$H105&amp;""</f>
        <v>SRC_HW_022</v>
      </c>
      <c r="B800" s="66" t="s">
        <v>6791</v>
      </c>
      <c r="C800" s="53" t="n">
        <v>105</v>
      </c>
      <c r="D800" s="53" t="s">
        <v>6792</v>
      </c>
      <c r="E800" s="53" t="s">
        <v>6792</v>
      </c>
      <c r="F800" s="54" t="s">
        <v>587</v>
      </c>
    </row>
    <row r="801" customFormat="false" ht="15" hidden="false" customHeight="false" outlineLevel="0" collapsed="false">
      <c r="A801" s="85" t="str">
        <f aca="false">Gov_Map!$H106&amp;""</f>
        <v>SRC_HW_025</v>
      </c>
      <c r="B801" s="66" t="s">
        <v>6791</v>
      </c>
      <c r="C801" s="53" t="n">
        <v>106</v>
      </c>
      <c r="D801" s="53" t="s">
        <v>6792</v>
      </c>
      <c r="E801" s="53" t="s">
        <v>6792</v>
      </c>
      <c r="F801" s="54" t="s">
        <v>587</v>
      </c>
    </row>
    <row r="802" customFormat="false" ht="15" hidden="false" customHeight="false" outlineLevel="0" collapsed="false">
      <c r="A802" s="85" t="str">
        <f aca="false">Gov_Map!$H107&amp;""</f>
        <v>SRC_HW_028</v>
      </c>
      <c r="B802" s="66" t="s">
        <v>6791</v>
      </c>
      <c r="C802" s="53" t="n">
        <v>107</v>
      </c>
      <c r="D802" s="53" t="s">
        <v>6792</v>
      </c>
      <c r="E802" s="53" t="s">
        <v>6792</v>
      </c>
      <c r="F802" s="54" t="s">
        <v>587</v>
      </c>
    </row>
    <row r="803" customFormat="false" ht="15" hidden="false" customHeight="false" outlineLevel="0" collapsed="false">
      <c r="A803" s="85" t="str">
        <f aca="false">Gov_Map!$H108&amp;""</f>
        <v>SRC_HW_063</v>
      </c>
      <c r="B803" s="66" t="s">
        <v>6791</v>
      </c>
      <c r="C803" s="53" t="n">
        <v>108</v>
      </c>
      <c r="D803" s="53" t="s">
        <v>6792</v>
      </c>
      <c r="E803" s="53" t="s">
        <v>6792</v>
      </c>
      <c r="F803" s="54" t="s">
        <v>587</v>
      </c>
    </row>
    <row r="804" customFormat="false" ht="15" hidden="false" customHeight="false" outlineLevel="0" collapsed="false">
      <c r="A804" s="85" t="str">
        <f aca="false">Gov_Map!$H109&amp;""</f>
        <v>—</v>
      </c>
      <c r="B804" s="66" t="s">
        <v>6791</v>
      </c>
      <c r="C804" s="53" t="n">
        <v>109</v>
      </c>
      <c r="D804" s="53" t="s">
        <v>6792</v>
      </c>
      <c r="E804" s="53" t="s">
        <v>6792</v>
      </c>
      <c r="F804" s="54" t="s">
        <v>587</v>
      </c>
    </row>
    <row r="805" customFormat="false" ht="15" hidden="false" customHeight="false" outlineLevel="0" collapsed="false">
      <c r="A805" s="85" t="str">
        <f aca="false">Gov_Map!$H110&amp;""</f>
        <v>SRC_HW_022</v>
      </c>
      <c r="B805" s="66" t="s">
        <v>6791</v>
      </c>
      <c r="C805" s="53" t="n">
        <v>110</v>
      </c>
      <c r="D805" s="53" t="s">
        <v>6792</v>
      </c>
      <c r="E805" s="53" t="s">
        <v>6792</v>
      </c>
      <c r="F805" s="54" t="s">
        <v>587</v>
      </c>
    </row>
    <row r="806" customFormat="false" ht="15" hidden="false" customHeight="false" outlineLevel="0" collapsed="false">
      <c r="A806" s="85" t="str">
        <f aca="false">Gov_Map!$H111&amp;""</f>
        <v>SRC_HW_025</v>
      </c>
      <c r="B806" s="66" t="s">
        <v>6791</v>
      </c>
      <c r="C806" s="53" t="n">
        <v>111</v>
      </c>
      <c r="D806" s="53" t="s">
        <v>6792</v>
      </c>
      <c r="E806" s="53" t="s">
        <v>6792</v>
      </c>
      <c r="F806" s="54" t="s">
        <v>587</v>
      </c>
    </row>
    <row r="807" customFormat="false" ht="15" hidden="false" customHeight="false" outlineLevel="0" collapsed="false">
      <c r="A807" s="85" t="str">
        <f aca="false">Gov_Map!$H112&amp;""</f>
        <v>SRC_HW_027</v>
      </c>
      <c r="B807" s="66" t="s">
        <v>6791</v>
      </c>
      <c r="C807" s="53" t="n">
        <v>112</v>
      </c>
      <c r="D807" s="53" t="s">
        <v>6792</v>
      </c>
      <c r="E807" s="53" t="s">
        <v>6792</v>
      </c>
      <c r="F807" s="54" t="s">
        <v>587</v>
      </c>
    </row>
    <row r="808" customFormat="false" ht="15" hidden="false" customHeight="false" outlineLevel="0" collapsed="false">
      <c r="A808" s="85" t="str">
        <f aca="false">Gov_Map!$H113&amp;""</f>
        <v>SRC_HW_063</v>
      </c>
      <c r="B808" s="66" t="s">
        <v>6791</v>
      </c>
      <c r="C808" s="53" t="n">
        <v>113</v>
      </c>
      <c r="D808" s="53" t="s">
        <v>6792</v>
      </c>
      <c r="E808" s="53" t="s">
        <v>6792</v>
      </c>
      <c r="F808" s="54" t="s">
        <v>587</v>
      </c>
    </row>
    <row r="809" customFormat="false" ht="15" hidden="false" customHeight="false" outlineLevel="0" collapsed="false">
      <c r="A809" s="85" t="str">
        <f aca="false">Gov_Map!$H114&amp;""</f>
        <v>SRC_HW_020</v>
      </c>
      <c r="B809" s="66" t="s">
        <v>6791</v>
      </c>
      <c r="C809" s="53" t="n">
        <v>114</v>
      </c>
      <c r="D809" s="53" t="s">
        <v>6792</v>
      </c>
      <c r="E809" s="53" t="s">
        <v>6792</v>
      </c>
      <c r="F809" s="54" t="s">
        <v>587</v>
      </c>
    </row>
    <row r="810" customFormat="false" ht="15" hidden="false" customHeight="false" outlineLevel="0" collapsed="false">
      <c r="A810" s="85" t="str">
        <f aca="false">Gov_Map!$H115&amp;""</f>
        <v>SRC_HW_041</v>
      </c>
      <c r="B810" s="66" t="s">
        <v>6791</v>
      </c>
      <c r="C810" s="53" t="n">
        <v>115</v>
      </c>
      <c r="D810" s="53" t="s">
        <v>6792</v>
      </c>
      <c r="E810" s="53" t="s">
        <v>6792</v>
      </c>
      <c r="F810" s="54" t="s">
        <v>587</v>
      </c>
    </row>
    <row r="811" customFormat="false" ht="15" hidden="false" customHeight="false" outlineLevel="0" collapsed="false">
      <c r="A811" s="85" t="str">
        <f aca="false">Gov_Map!$H116&amp;""</f>
        <v>SRC_HW_026</v>
      </c>
      <c r="B811" s="66" t="s">
        <v>6791</v>
      </c>
      <c r="C811" s="53" t="n">
        <v>116</v>
      </c>
      <c r="D811" s="53" t="s">
        <v>6792</v>
      </c>
      <c r="E811" s="53" t="s">
        <v>6792</v>
      </c>
      <c r="F811" s="54" t="s">
        <v>587</v>
      </c>
    </row>
    <row r="812" customFormat="false" ht="15" hidden="false" customHeight="false" outlineLevel="0" collapsed="false">
      <c r="A812" s="85" t="str">
        <f aca="false">Gov_Map!$H117&amp;""</f>
        <v>SRC_HW_029</v>
      </c>
      <c r="B812" s="66" t="s">
        <v>6791</v>
      </c>
      <c r="C812" s="53" t="n">
        <v>117</v>
      </c>
      <c r="D812" s="53" t="s">
        <v>6792</v>
      </c>
      <c r="E812" s="53" t="s">
        <v>6792</v>
      </c>
      <c r="F812" s="54" t="s">
        <v>587</v>
      </c>
    </row>
    <row r="813" customFormat="false" ht="15" hidden="false" customHeight="false" outlineLevel="0" collapsed="false">
      <c r="A813" s="85" t="str">
        <f aca="false">Gov_Map!$H118&amp;""</f>
        <v>—</v>
      </c>
      <c r="B813" s="66" t="s">
        <v>6791</v>
      </c>
      <c r="C813" s="53" t="n">
        <v>118</v>
      </c>
      <c r="D813" s="53" t="s">
        <v>6792</v>
      </c>
      <c r="E813" s="53" t="s">
        <v>6792</v>
      </c>
      <c r="F813" s="54" t="s">
        <v>587</v>
      </c>
    </row>
    <row r="814" customFormat="false" ht="15" hidden="false" customHeight="false" outlineLevel="0" collapsed="false">
      <c r="A814" s="85" t="str">
        <f aca="false">Gov_Map!$H119&amp;""</f>
        <v>SRC_HW_021</v>
      </c>
      <c r="B814" s="66" t="s">
        <v>6791</v>
      </c>
      <c r="C814" s="53" t="n">
        <v>119</v>
      </c>
      <c r="D814" s="53" t="s">
        <v>6792</v>
      </c>
      <c r="E814" s="53" t="s">
        <v>6792</v>
      </c>
      <c r="F814" s="54" t="s">
        <v>587</v>
      </c>
    </row>
    <row r="815" customFormat="false" ht="15" hidden="false" customHeight="false" outlineLevel="0" collapsed="false">
      <c r="A815" s="85" t="str">
        <f aca="false">Gov_Map!$H120&amp;""</f>
        <v>SRC_HW_023</v>
      </c>
      <c r="B815" s="66" t="s">
        <v>6791</v>
      </c>
      <c r="C815" s="53" t="n">
        <v>120</v>
      </c>
      <c r="D815" s="53" t="s">
        <v>6792</v>
      </c>
      <c r="E815" s="53" t="s">
        <v>6792</v>
      </c>
      <c r="F815" s="54" t="s">
        <v>587</v>
      </c>
    </row>
    <row r="816" customFormat="false" ht="15" hidden="false" customHeight="false" outlineLevel="0" collapsed="false">
      <c r="A816" s="85" t="str">
        <f aca="false">Gov_Map!$H121&amp;""</f>
        <v>SRC_HW_059</v>
      </c>
      <c r="B816" s="66" t="s">
        <v>6791</v>
      </c>
      <c r="C816" s="53" t="n">
        <v>121</v>
      </c>
      <c r="D816" s="53" t="s">
        <v>6792</v>
      </c>
      <c r="E816" s="53" t="s">
        <v>6792</v>
      </c>
      <c r="F816" s="54" t="s">
        <v>587</v>
      </c>
    </row>
    <row r="817" customFormat="false" ht="15" hidden="false" customHeight="false" outlineLevel="0" collapsed="false">
      <c r="A817" s="85" t="str">
        <f aca="false">Gov_Map!$H122&amp;""</f>
        <v>SRC_HW_030</v>
      </c>
      <c r="B817" s="66" t="s">
        <v>6791</v>
      </c>
      <c r="C817" s="53" t="n">
        <v>122</v>
      </c>
      <c r="D817" s="53" t="s">
        <v>6792</v>
      </c>
      <c r="E817" s="53" t="s">
        <v>6792</v>
      </c>
      <c r="F817" s="54" t="s">
        <v>587</v>
      </c>
    </row>
    <row r="818" customFormat="false" ht="15" hidden="false" customHeight="false" outlineLevel="0" collapsed="false">
      <c r="A818" s="85" t="str">
        <f aca="false">Gov_Map!$H123&amp;""</f>
        <v>SRC_HW_044</v>
      </c>
      <c r="B818" s="66" t="s">
        <v>6791</v>
      </c>
      <c r="C818" s="53" t="n">
        <v>123</v>
      </c>
      <c r="D818" s="53" t="s">
        <v>6792</v>
      </c>
      <c r="E818" s="53" t="s">
        <v>6792</v>
      </c>
      <c r="F818" s="54" t="s">
        <v>587</v>
      </c>
    </row>
    <row r="819" customFormat="false" ht="15" hidden="false" customHeight="false" outlineLevel="0" collapsed="false">
      <c r="A819" s="85" t="str">
        <f aca="false">Gov_Map!$H124&amp;""</f>
        <v>SRC_HW_060</v>
      </c>
      <c r="B819" s="66" t="s">
        <v>6791</v>
      </c>
      <c r="C819" s="53" t="n">
        <v>124</v>
      </c>
      <c r="D819" s="53" t="s">
        <v>6792</v>
      </c>
      <c r="E819" s="53" t="s">
        <v>6792</v>
      </c>
      <c r="F819" s="54" t="s">
        <v>587</v>
      </c>
    </row>
    <row r="820" customFormat="false" ht="15" hidden="false" customHeight="false" outlineLevel="0" collapsed="false">
      <c r="A820" s="85" t="str">
        <f aca="false">Gov_Map!$H125&amp;""</f>
        <v>SRC_HW_048</v>
      </c>
      <c r="B820" s="66" t="s">
        <v>6791</v>
      </c>
      <c r="C820" s="53" t="n">
        <v>125</v>
      </c>
      <c r="D820" s="53" t="s">
        <v>6792</v>
      </c>
      <c r="E820" s="53" t="s">
        <v>6792</v>
      </c>
      <c r="F820" s="54" t="s">
        <v>587</v>
      </c>
    </row>
    <row r="821" customFormat="false" ht="15" hidden="false" customHeight="false" outlineLevel="0" collapsed="false">
      <c r="A821" s="85" t="str">
        <f aca="false">Gov_Map!$H126&amp;""</f>
        <v>SRC_HW_048</v>
      </c>
      <c r="B821" s="66" t="s">
        <v>6791</v>
      </c>
      <c r="C821" s="53" t="n">
        <v>126</v>
      </c>
      <c r="D821" s="53" t="s">
        <v>6792</v>
      </c>
      <c r="E821" s="53" t="s">
        <v>6792</v>
      </c>
      <c r="F821" s="54" t="s">
        <v>587</v>
      </c>
    </row>
    <row r="822" customFormat="false" ht="15" hidden="false" customHeight="false" outlineLevel="0" collapsed="false">
      <c r="A822" s="85" t="str">
        <f aca="false">Gov_Map!$H127&amp;""</f>
        <v>SRC_HW_049</v>
      </c>
      <c r="B822" s="66" t="s">
        <v>6791</v>
      </c>
      <c r="C822" s="53" t="n">
        <v>127</v>
      </c>
      <c r="D822" s="53" t="s">
        <v>6792</v>
      </c>
      <c r="E822" s="53" t="s">
        <v>6792</v>
      </c>
      <c r="F822" s="54" t="s">
        <v>587</v>
      </c>
    </row>
    <row r="823" customFormat="false" ht="15" hidden="false" customHeight="false" outlineLevel="0" collapsed="false">
      <c r="A823" s="85" t="str">
        <f aca="false">Gov_Map!$H128&amp;""</f>
        <v>—</v>
      </c>
      <c r="B823" s="66" t="s">
        <v>6791</v>
      </c>
      <c r="C823" s="53" t="n">
        <v>128</v>
      </c>
      <c r="D823" s="53" t="s">
        <v>6792</v>
      </c>
      <c r="E823" s="53" t="s">
        <v>6792</v>
      </c>
      <c r="F823" s="54" t="s">
        <v>587</v>
      </c>
    </row>
    <row r="824" customFormat="false" ht="15" hidden="false" customHeight="false" outlineLevel="0" collapsed="false">
      <c r="A824" s="85" t="str">
        <f aca="false">Gov_Map!$H129&amp;""</f>
        <v>SRC_HW_053</v>
      </c>
      <c r="B824" s="66" t="s">
        <v>6791</v>
      </c>
      <c r="C824" s="53" t="n">
        <v>129</v>
      </c>
      <c r="D824" s="53" t="s">
        <v>6792</v>
      </c>
      <c r="E824" s="53" t="s">
        <v>6792</v>
      </c>
      <c r="F824" s="54" t="s">
        <v>587</v>
      </c>
    </row>
    <row r="825" customFormat="false" ht="15" hidden="false" customHeight="false" outlineLevel="0" collapsed="false">
      <c r="A825" s="85" t="str">
        <f aca="false">Gov_Map!$H130&amp;""</f>
        <v>SRC_HW_047</v>
      </c>
      <c r="B825" s="66" t="s">
        <v>6791</v>
      </c>
      <c r="C825" s="53" t="n">
        <v>130</v>
      </c>
      <c r="D825" s="53" t="s">
        <v>6792</v>
      </c>
      <c r="E825" s="53" t="s">
        <v>6792</v>
      </c>
      <c r="F825" s="54" t="s">
        <v>587</v>
      </c>
    </row>
    <row r="826" customFormat="false" ht="15" hidden="false" customHeight="false" outlineLevel="0" collapsed="false">
      <c r="A826" s="85" t="str">
        <f aca="false">Gov_Map!$H131&amp;""</f>
        <v>SRC_HW_047</v>
      </c>
      <c r="B826" s="66" t="s">
        <v>6791</v>
      </c>
      <c r="C826" s="53" t="n">
        <v>131</v>
      </c>
      <c r="D826" s="53" t="s">
        <v>6792</v>
      </c>
      <c r="E826" s="53" t="s">
        <v>6792</v>
      </c>
      <c r="F826" s="54" t="s">
        <v>587</v>
      </c>
    </row>
    <row r="827" customFormat="false" ht="15" hidden="false" customHeight="false" outlineLevel="0" collapsed="false">
      <c r="A827" s="85" t="str">
        <f aca="false">Gov_Map!$H132&amp;""</f>
        <v>SRC_HW_047</v>
      </c>
      <c r="B827" s="66" t="s">
        <v>6791</v>
      </c>
      <c r="C827" s="53" t="n">
        <v>132</v>
      </c>
      <c r="D827" s="53" t="s">
        <v>6792</v>
      </c>
      <c r="E827" s="53" t="s">
        <v>6792</v>
      </c>
      <c r="F827" s="54" t="s">
        <v>587</v>
      </c>
    </row>
    <row r="828" customFormat="false" ht="15" hidden="false" customHeight="false" outlineLevel="0" collapsed="false">
      <c r="A828" s="85" t="str">
        <f aca="false">Gov_Map!$H133&amp;""</f>
        <v>SRC_HW_062</v>
      </c>
      <c r="B828" s="66" t="s">
        <v>6791</v>
      </c>
      <c r="C828" s="53" t="n">
        <v>133</v>
      </c>
      <c r="D828" s="53" t="s">
        <v>6792</v>
      </c>
      <c r="E828" s="53" t="s">
        <v>6792</v>
      </c>
      <c r="F828" s="54" t="s">
        <v>587</v>
      </c>
    </row>
    <row r="829" customFormat="false" ht="15" hidden="false" customHeight="false" outlineLevel="0" collapsed="false">
      <c r="A829" s="85" t="str">
        <f aca="false">Gov_Map!$H134&amp;""</f>
        <v>SRC_PERF_051</v>
      </c>
      <c r="B829" s="66" t="s">
        <v>6791</v>
      </c>
      <c r="C829" s="53" t="n">
        <v>134</v>
      </c>
      <c r="D829" s="53" t="s">
        <v>6792</v>
      </c>
      <c r="E829" s="53" t="s">
        <v>6792</v>
      </c>
      <c r="F829" s="54" t="s">
        <v>587</v>
      </c>
    </row>
    <row r="830" customFormat="false" ht="15" hidden="false" customHeight="false" outlineLevel="0" collapsed="false">
      <c r="A830" s="85" t="str">
        <f aca="false">Gov_Map!$H135&amp;""</f>
        <v>SRC_PERF_008</v>
      </c>
      <c r="B830" s="66" t="s">
        <v>6791</v>
      </c>
      <c r="C830" s="53" t="n">
        <v>135</v>
      </c>
      <c r="D830" s="53" t="s">
        <v>6792</v>
      </c>
      <c r="E830" s="53" t="s">
        <v>6792</v>
      </c>
      <c r="F830" s="54" t="s">
        <v>587</v>
      </c>
    </row>
    <row r="831" customFormat="false" ht="15" hidden="false" customHeight="false" outlineLevel="0" collapsed="false">
      <c r="A831" s="85" t="str">
        <f aca="false">Gov_Map!$H136&amp;""</f>
        <v>SRC_PERF_008</v>
      </c>
      <c r="B831" s="66" t="s">
        <v>6791</v>
      </c>
      <c r="C831" s="53" t="n">
        <v>136</v>
      </c>
      <c r="D831" s="53" t="s">
        <v>6792</v>
      </c>
      <c r="E831" s="53" t="s">
        <v>6792</v>
      </c>
      <c r="F831" s="54" t="s">
        <v>587</v>
      </c>
    </row>
    <row r="832" customFormat="false" ht="15" hidden="false" customHeight="false" outlineLevel="0" collapsed="false">
      <c r="A832" s="85" t="str">
        <f aca="false">Gov_Map!$H137&amp;""</f>
        <v>SRC_PERF_008</v>
      </c>
      <c r="B832" s="66" t="s">
        <v>6791</v>
      </c>
      <c r="C832" s="53" t="n">
        <v>137</v>
      </c>
      <c r="D832" s="53" t="s">
        <v>6792</v>
      </c>
      <c r="E832" s="53" t="s">
        <v>6792</v>
      </c>
      <c r="F832" s="54" t="s">
        <v>587</v>
      </c>
    </row>
    <row r="833" customFormat="false" ht="15" hidden="false" customHeight="false" outlineLevel="0" collapsed="false">
      <c r="A833" s="85" t="str">
        <f aca="false">Gov_Map!$H138&amp;""</f>
        <v>—</v>
      </c>
      <c r="B833" s="66" t="s">
        <v>6791</v>
      </c>
      <c r="C833" s="53" t="n">
        <v>138</v>
      </c>
      <c r="D833" s="53" t="s">
        <v>6792</v>
      </c>
      <c r="E833" s="53" t="s">
        <v>6792</v>
      </c>
      <c r="F833" s="54" t="s">
        <v>587</v>
      </c>
    </row>
    <row r="834" customFormat="false" ht="15" hidden="false" customHeight="false" outlineLevel="0" collapsed="false">
      <c r="A834" s="85" t="str">
        <f aca="false">Gov_Map!$H139&amp;""</f>
        <v>SRC_HW_055</v>
      </c>
      <c r="B834" s="66" t="s">
        <v>6791</v>
      </c>
      <c r="C834" s="53" t="n">
        <v>139</v>
      </c>
      <c r="D834" s="53" t="s">
        <v>6792</v>
      </c>
      <c r="E834" s="53" t="s">
        <v>6792</v>
      </c>
      <c r="F834" s="54" t="s">
        <v>587</v>
      </c>
    </row>
    <row r="835" customFormat="false" ht="15" hidden="false" customHeight="false" outlineLevel="0" collapsed="false">
      <c r="A835" s="85" t="str">
        <f aca="false">Gov_Map!$H140&amp;""</f>
        <v>SRC_HW_050</v>
      </c>
      <c r="B835" s="66" t="s">
        <v>6791</v>
      </c>
      <c r="C835" s="53" t="n">
        <v>140</v>
      </c>
      <c r="D835" s="53" t="s">
        <v>6792</v>
      </c>
      <c r="E835" s="53" t="s">
        <v>6792</v>
      </c>
      <c r="F835" s="54" t="s">
        <v>587</v>
      </c>
    </row>
    <row r="836" customFormat="false" ht="15" hidden="false" customHeight="false" outlineLevel="0" collapsed="false">
      <c r="A836" s="85" t="str">
        <f aca="false">Gov_Map!$H141&amp;""</f>
        <v>SRC_HW_050</v>
      </c>
      <c r="B836" s="66" t="s">
        <v>6791</v>
      </c>
      <c r="C836" s="53" t="n">
        <v>141</v>
      </c>
      <c r="D836" s="53" t="s">
        <v>6792</v>
      </c>
      <c r="E836" s="53" t="s">
        <v>6792</v>
      </c>
      <c r="F836" s="54" t="s">
        <v>587</v>
      </c>
    </row>
    <row r="837" customFormat="false" ht="15" hidden="false" customHeight="false" outlineLevel="0" collapsed="false">
      <c r="A837" s="85" t="str">
        <f aca="false">Gov_Map!$H142&amp;""</f>
        <v>SRC_HW_050</v>
      </c>
      <c r="B837" s="66" t="s">
        <v>6791</v>
      </c>
      <c r="C837" s="53" t="n">
        <v>142</v>
      </c>
      <c r="D837" s="53" t="s">
        <v>6792</v>
      </c>
      <c r="E837" s="53" t="s">
        <v>6792</v>
      </c>
      <c r="F837" s="54" t="s">
        <v>587</v>
      </c>
    </row>
    <row r="838" customFormat="false" ht="15" hidden="false" customHeight="false" outlineLevel="0" collapsed="false">
      <c r="A838" s="85" t="str">
        <f aca="false">Gov_Map!$H143&amp;""</f>
        <v>SRC_HW_050</v>
      </c>
      <c r="B838" s="66" t="s">
        <v>6791</v>
      </c>
      <c r="C838" s="53" t="n">
        <v>143</v>
      </c>
      <c r="D838" s="53" t="s">
        <v>6792</v>
      </c>
      <c r="E838" s="53" t="s">
        <v>6792</v>
      </c>
      <c r="F838" s="54" t="s">
        <v>587</v>
      </c>
    </row>
    <row r="839" customFormat="false" ht="15" hidden="false" customHeight="false" outlineLevel="0" collapsed="false">
      <c r="A839" s="85" t="str">
        <f aca="false">Gov_Map!$H144&amp;""</f>
        <v>—</v>
      </c>
      <c r="B839" s="66" t="s">
        <v>6791</v>
      </c>
      <c r="C839" s="53" t="n">
        <v>144</v>
      </c>
      <c r="D839" s="53" t="s">
        <v>6792</v>
      </c>
      <c r="E839" s="53" t="s">
        <v>6792</v>
      </c>
      <c r="F839" s="54" t="s">
        <v>587</v>
      </c>
    </row>
    <row r="840" customFormat="false" ht="15" hidden="false" customHeight="false" outlineLevel="0" collapsed="false">
      <c r="A840" s="85" t="str">
        <f aca="false">Gov_Map!$H145&amp;""</f>
        <v>—</v>
      </c>
      <c r="B840" s="66" t="s">
        <v>6791</v>
      </c>
      <c r="C840" s="53" t="n">
        <v>145</v>
      </c>
      <c r="D840" s="53" t="s">
        <v>6792</v>
      </c>
      <c r="E840" s="53" t="s">
        <v>6792</v>
      </c>
      <c r="F840" s="54" t="s">
        <v>587</v>
      </c>
    </row>
    <row r="841" customFormat="false" ht="15" hidden="false" customHeight="false" outlineLevel="0" collapsed="false">
      <c r="A841" s="85" t="str">
        <f aca="false">Gov_Map!$H146&amp;""</f>
        <v>—</v>
      </c>
      <c r="B841" s="66" t="s">
        <v>6791</v>
      </c>
      <c r="C841" s="53" t="n">
        <v>146</v>
      </c>
      <c r="D841" s="53" t="s">
        <v>6792</v>
      </c>
      <c r="E841" s="53" t="s">
        <v>6792</v>
      </c>
      <c r="F841" s="54" t="s">
        <v>587</v>
      </c>
    </row>
    <row r="842" customFormat="false" ht="15" hidden="false" customHeight="false" outlineLevel="0" collapsed="false">
      <c r="A842" s="85" t="str">
        <f aca="false">Gov_Map!$H147&amp;""</f>
        <v>—</v>
      </c>
      <c r="B842" s="66" t="s">
        <v>6791</v>
      </c>
      <c r="C842" s="53" t="n">
        <v>147</v>
      </c>
      <c r="D842" s="53" t="s">
        <v>6792</v>
      </c>
      <c r="E842" s="53" t="s">
        <v>6792</v>
      </c>
      <c r="F842" s="54" t="s">
        <v>587</v>
      </c>
    </row>
    <row r="843" customFormat="false" ht="15" hidden="false" customHeight="false" outlineLevel="0" collapsed="false">
      <c r="A843" s="85" t="str">
        <f aca="false">Gov_Map!$H148&amp;""</f>
        <v>—</v>
      </c>
      <c r="B843" s="66" t="s">
        <v>6791</v>
      </c>
      <c r="C843" s="53" t="n">
        <v>148</v>
      </c>
      <c r="D843" s="53" t="s">
        <v>6792</v>
      </c>
      <c r="E843" s="53" t="s">
        <v>6792</v>
      </c>
      <c r="F843" s="54" t="s">
        <v>587</v>
      </c>
    </row>
    <row r="844" customFormat="false" ht="15" hidden="false" customHeight="false" outlineLevel="0" collapsed="false">
      <c r="A844" s="85" t="str">
        <f aca="false">Gov_Map!$H149&amp;""</f>
        <v>—</v>
      </c>
      <c r="B844" s="66" t="s">
        <v>6791</v>
      </c>
      <c r="C844" s="53" t="n">
        <v>149</v>
      </c>
      <c r="D844" s="53" t="s">
        <v>6792</v>
      </c>
      <c r="E844" s="53" t="s">
        <v>6792</v>
      </c>
      <c r="F844" s="54" t="s">
        <v>587</v>
      </c>
    </row>
    <row r="845" customFormat="false" ht="15" hidden="false" customHeight="false" outlineLevel="0" collapsed="false">
      <c r="A845" s="85" t="str">
        <f aca="false">Gov_Map!$H150&amp;""</f>
        <v>SRC_PERF_007</v>
      </c>
      <c r="B845" s="66" t="s">
        <v>6791</v>
      </c>
      <c r="C845" s="53" t="n">
        <v>150</v>
      </c>
      <c r="D845" s="53" t="s">
        <v>6792</v>
      </c>
      <c r="E845" s="53" t="s">
        <v>6792</v>
      </c>
      <c r="F845" s="54" t="s">
        <v>587</v>
      </c>
    </row>
    <row r="846" customFormat="false" ht="15" hidden="false" customHeight="false" outlineLevel="0" collapsed="false">
      <c r="A846" s="85" t="str">
        <f aca="false">Gov_Map!$H151&amp;""</f>
        <v>SRC_PERF_007</v>
      </c>
      <c r="B846" s="66" t="s">
        <v>6791</v>
      </c>
      <c r="C846" s="53" t="n">
        <v>151</v>
      </c>
      <c r="D846" s="53" t="s">
        <v>6792</v>
      </c>
      <c r="E846" s="53" t="s">
        <v>6792</v>
      </c>
      <c r="F846" s="54" t="s">
        <v>587</v>
      </c>
    </row>
    <row r="847" customFormat="false" ht="15" hidden="false" customHeight="false" outlineLevel="0" collapsed="false">
      <c r="A847" s="85" t="str">
        <f aca="false">Gov_Map!$H152&amp;""</f>
        <v>SRC_PERF_007</v>
      </c>
      <c r="B847" s="66" t="s">
        <v>6791</v>
      </c>
      <c r="C847" s="53" t="n">
        <v>152</v>
      </c>
      <c r="D847" s="53" t="s">
        <v>6792</v>
      </c>
      <c r="E847" s="53" t="s">
        <v>6792</v>
      </c>
      <c r="F847" s="54" t="s">
        <v>587</v>
      </c>
    </row>
    <row r="848" customFormat="false" ht="15" hidden="false" customHeight="false" outlineLevel="0" collapsed="false">
      <c r="A848" s="85" t="str">
        <f aca="false">Gov_Map!$H153&amp;""</f>
        <v>—</v>
      </c>
      <c r="B848" s="66" t="s">
        <v>6791</v>
      </c>
      <c r="C848" s="53" t="n">
        <v>153</v>
      </c>
      <c r="D848" s="53" t="s">
        <v>6792</v>
      </c>
      <c r="E848" s="53" t="s">
        <v>6792</v>
      </c>
      <c r="F848" s="54" t="s">
        <v>587</v>
      </c>
    </row>
    <row r="849" customFormat="false" ht="15" hidden="false" customHeight="false" outlineLevel="0" collapsed="false">
      <c r="A849" s="85" t="str">
        <f aca="false">Gov_Map!$H154&amp;""</f>
        <v>SRC_HW_056</v>
      </c>
      <c r="B849" s="66" t="s">
        <v>6791</v>
      </c>
      <c r="C849" s="53" t="n">
        <v>154</v>
      </c>
      <c r="D849" s="53" t="s">
        <v>6792</v>
      </c>
      <c r="E849" s="53" t="s">
        <v>6792</v>
      </c>
      <c r="F849" s="54" t="s">
        <v>587</v>
      </c>
    </row>
    <row r="850" customFormat="false" ht="15" hidden="false" customHeight="false" outlineLevel="0" collapsed="false">
      <c r="A850" s="85" t="str">
        <f aca="false">Gov_Map!$H155&amp;""</f>
        <v>SRC_HW_057</v>
      </c>
      <c r="B850" s="66" t="s">
        <v>6791</v>
      </c>
      <c r="C850" s="53" t="n">
        <v>155</v>
      </c>
      <c r="D850" s="53" t="s">
        <v>6792</v>
      </c>
      <c r="E850" s="53" t="s">
        <v>6792</v>
      </c>
      <c r="F850" s="54" t="s">
        <v>587</v>
      </c>
    </row>
    <row r="851" customFormat="false" ht="15" hidden="false" customHeight="false" outlineLevel="0" collapsed="false">
      <c r="A851" s="85" t="str">
        <f aca="false">Gov_Map!$H156&amp;""</f>
        <v>SRC_HW_058</v>
      </c>
      <c r="B851" s="66" t="s">
        <v>6791</v>
      </c>
      <c r="C851" s="53" t="n">
        <v>156</v>
      </c>
      <c r="D851" s="53" t="s">
        <v>6792</v>
      </c>
      <c r="E851" s="53" t="s">
        <v>6792</v>
      </c>
      <c r="F851" s="54" t="s">
        <v>587</v>
      </c>
    </row>
    <row r="852" customFormat="false" ht="15" hidden="false" customHeight="false" outlineLevel="0" collapsed="false">
      <c r="A852" s="85" t="str">
        <f aca="false">Gov_Map!$H157&amp;""</f>
        <v>SRC_HW_046</v>
      </c>
      <c r="B852" s="66" t="s">
        <v>6791</v>
      </c>
      <c r="C852" s="53" t="n">
        <v>157</v>
      </c>
      <c r="D852" s="53" t="s">
        <v>6792</v>
      </c>
      <c r="E852" s="53" t="s">
        <v>6792</v>
      </c>
      <c r="F852" s="54" t="s">
        <v>587</v>
      </c>
    </row>
    <row r="853" customFormat="false" ht="15" hidden="false" customHeight="false" outlineLevel="0" collapsed="false">
      <c r="A853" s="85" t="str">
        <f aca="false">Gov_Map!$H158&amp;""</f>
        <v>—</v>
      </c>
      <c r="B853" s="66" t="s">
        <v>6791</v>
      </c>
      <c r="C853" s="53" t="n">
        <v>158</v>
      </c>
      <c r="D853" s="53" t="s">
        <v>6792</v>
      </c>
      <c r="E853" s="53" t="s">
        <v>6792</v>
      </c>
      <c r="F853" s="54" t="s">
        <v>587</v>
      </c>
    </row>
    <row r="854" customFormat="false" ht="15" hidden="false" customHeight="false" outlineLevel="0" collapsed="false">
      <c r="A854" s="85" t="str">
        <f aca="false">Gov_Map!$H159&amp;""</f>
        <v>SRC_HW_032</v>
      </c>
      <c r="B854" s="66" t="s">
        <v>6791</v>
      </c>
      <c r="C854" s="53" t="n">
        <v>159</v>
      </c>
      <c r="D854" s="53" t="s">
        <v>6792</v>
      </c>
      <c r="E854" s="53" t="s">
        <v>6792</v>
      </c>
      <c r="F854" s="54" t="s">
        <v>587</v>
      </c>
    </row>
    <row r="855" customFormat="false" ht="15" hidden="false" customHeight="false" outlineLevel="0" collapsed="false">
      <c r="A855" s="85" t="str">
        <f aca="false">Gov_Map!$H160&amp;""</f>
        <v>SRC_HW_033</v>
      </c>
      <c r="B855" s="66" t="s">
        <v>6791</v>
      </c>
      <c r="C855" s="53" t="n">
        <v>160</v>
      </c>
      <c r="D855" s="53" t="s">
        <v>6792</v>
      </c>
      <c r="E855" s="53" t="s">
        <v>6792</v>
      </c>
      <c r="F855" s="54" t="s">
        <v>587</v>
      </c>
    </row>
    <row r="856" customFormat="false" ht="15" hidden="false" customHeight="false" outlineLevel="0" collapsed="false">
      <c r="A856" s="85" t="str">
        <f aca="false">Gov_Map!$H161&amp;""</f>
        <v>SRC_HW_033</v>
      </c>
      <c r="B856" s="66" t="s">
        <v>6791</v>
      </c>
      <c r="C856" s="53" t="n">
        <v>161</v>
      </c>
      <c r="D856" s="53" t="s">
        <v>6792</v>
      </c>
      <c r="E856" s="53" t="s">
        <v>6792</v>
      </c>
      <c r="F856" s="54" t="s">
        <v>587</v>
      </c>
    </row>
    <row r="857" customFormat="false" ht="15" hidden="false" customHeight="false" outlineLevel="0" collapsed="false">
      <c r="A857" s="85" t="str">
        <f aca="false">Gov_Map!$H162&amp;""</f>
        <v>SRC_HW_034</v>
      </c>
      <c r="B857" s="66" t="s">
        <v>6791</v>
      </c>
      <c r="C857" s="53" t="n">
        <v>162</v>
      </c>
      <c r="D857" s="53" t="s">
        <v>6792</v>
      </c>
      <c r="E857" s="53" t="s">
        <v>6792</v>
      </c>
      <c r="F857" s="54" t="s">
        <v>587</v>
      </c>
    </row>
    <row r="858" customFormat="false" ht="15" hidden="false" customHeight="false" outlineLevel="0" collapsed="false">
      <c r="A858" s="85" t="str">
        <f aca="false">Gov_Map!$H163&amp;""</f>
        <v>—</v>
      </c>
      <c r="B858" s="66" t="s">
        <v>6791</v>
      </c>
      <c r="C858" s="53" t="n">
        <v>163</v>
      </c>
      <c r="D858" s="53" t="s">
        <v>6792</v>
      </c>
      <c r="E858" s="53" t="s">
        <v>6792</v>
      </c>
      <c r="F858" s="54" t="s">
        <v>587</v>
      </c>
    </row>
    <row r="859" customFormat="false" ht="15" hidden="false" customHeight="false" outlineLevel="0" collapsed="false">
      <c r="A859" s="85" t="str">
        <f aca="false">Gov_Map!$H164&amp;""</f>
        <v>SRC_HW_019</v>
      </c>
      <c r="B859" s="66" t="s">
        <v>6791</v>
      </c>
      <c r="C859" s="53" t="n">
        <v>164</v>
      </c>
      <c r="D859" s="53" t="s">
        <v>6792</v>
      </c>
      <c r="E859" s="53" t="s">
        <v>6792</v>
      </c>
      <c r="F859" s="54" t="s">
        <v>587</v>
      </c>
    </row>
    <row r="860" customFormat="false" ht="15" hidden="false" customHeight="false" outlineLevel="0" collapsed="false">
      <c r="A860" s="85" t="str">
        <f aca="false">Gov_Map!$H165&amp;""</f>
        <v>SRC_HW_042</v>
      </c>
      <c r="B860" s="66" t="s">
        <v>6791</v>
      </c>
      <c r="C860" s="53" t="n">
        <v>165</v>
      </c>
      <c r="D860" s="53" t="s">
        <v>6792</v>
      </c>
      <c r="E860" s="53" t="s">
        <v>6792</v>
      </c>
      <c r="F860" s="54" t="s">
        <v>587</v>
      </c>
    </row>
    <row r="861" customFormat="false" ht="15" hidden="false" customHeight="false" outlineLevel="0" collapsed="false">
      <c r="A861" s="85" t="str">
        <f aca="false">Gov_Map!$H166&amp;""</f>
        <v>SRC_HW_042</v>
      </c>
      <c r="B861" s="66" t="s">
        <v>6791</v>
      </c>
      <c r="C861" s="53" t="n">
        <v>166</v>
      </c>
      <c r="D861" s="53" t="s">
        <v>6792</v>
      </c>
      <c r="E861" s="53" t="s">
        <v>6792</v>
      </c>
      <c r="F861" s="54" t="s">
        <v>587</v>
      </c>
    </row>
    <row r="862" customFormat="false" ht="15" hidden="false" customHeight="false" outlineLevel="0" collapsed="false">
      <c r="A862" s="85" t="str">
        <f aca="false">Gov_Map!$H167&amp;""</f>
        <v>SRC_HW_039</v>
      </c>
      <c r="B862" s="66" t="s">
        <v>6791</v>
      </c>
      <c r="C862" s="53" t="n">
        <v>167</v>
      </c>
      <c r="D862" s="53" t="s">
        <v>6792</v>
      </c>
      <c r="E862" s="53" t="s">
        <v>6792</v>
      </c>
      <c r="F862" s="54" t="s">
        <v>587</v>
      </c>
    </row>
    <row r="863" customFormat="false" ht="15" hidden="false" customHeight="false" outlineLevel="0" collapsed="false">
      <c r="A863" s="85" t="str">
        <f aca="false">Gov_Map!$H168&amp;""</f>
        <v>—</v>
      </c>
      <c r="B863" s="66" t="s">
        <v>6791</v>
      </c>
      <c r="C863" s="53" t="n">
        <v>168</v>
      </c>
      <c r="D863" s="53" t="s">
        <v>6792</v>
      </c>
      <c r="E863" s="53" t="s">
        <v>6792</v>
      </c>
      <c r="F863" s="54" t="s">
        <v>587</v>
      </c>
    </row>
    <row r="864" customFormat="false" ht="15" hidden="false" customHeight="false" outlineLevel="0" collapsed="false">
      <c r="A864" s="85" t="str">
        <f aca="false">Gov_Map!$H169&amp;""</f>
        <v>SRC_HW_040</v>
      </c>
      <c r="B864" s="66" t="s">
        <v>6791</v>
      </c>
      <c r="C864" s="53" t="n">
        <v>169</v>
      </c>
      <c r="D864" s="53" t="s">
        <v>6792</v>
      </c>
      <c r="E864" s="53" t="s">
        <v>6792</v>
      </c>
      <c r="F864" s="54" t="s">
        <v>587</v>
      </c>
    </row>
    <row r="865" customFormat="false" ht="15" hidden="false" customHeight="false" outlineLevel="0" collapsed="false">
      <c r="A865" s="85" t="str">
        <f aca="false">Gov_Map!$H170&amp;""</f>
        <v>SRC_HW_043</v>
      </c>
      <c r="B865" s="66" t="s">
        <v>6791</v>
      </c>
      <c r="C865" s="53" t="n">
        <v>170</v>
      </c>
      <c r="D865" s="53" t="s">
        <v>6792</v>
      </c>
      <c r="E865" s="53" t="s">
        <v>6792</v>
      </c>
      <c r="F865" s="54" t="s">
        <v>587</v>
      </c>
    </row>
    <row r="866" customFormat="false" ht="15" hidden="false" customHeight="false" outlineLevel="0" collapsed="false">
      <c r="A866" s="85" t="str">
        <f aca="false">Gov_Map!$H171&amp;""</f>
        <v>SRC_HW_043</v>
      </c>
      <c r="B866" s="66" t="s">
        <v>6791</v>
      </c>
      <c r="C866" s="53" t="n">
        <v>171</v>
      </c>
      <c r="D866" s="53" t="s">
        <v>6792</v>
      </c>
      <c r="E866" s="53" t="s">
        <v>6792</v>
      </c>
      <c r="F866" s="54" t="s">
        <v>587</v>
      </c>
    </row>
    <row r="867" customFormat="false" ht="15" hidden="false" customHeight="false" outlineLevel="0" collapsed="false">
      <c r="A867" s="85" t="str">
        <f aca="false">Gov_Map!$H172&amp;""</f>
        <v>SRC_HW_038</v>
      </c>
      <c r="B867" s="66" t="s">
        <v>6791</v>
      </c>
      <c r="C867" s="53" t="n">
        <v>172</v>
      </c>
      <c r="D867" s="53" t="s">
        <v>6792</v>
      </c>
      <c r="E867" s="53" t="s">
        <v>6792</v>
      </c>
      <c r="F867" s="54" t="s">
        <v>587</v>
      </c>
    </row>
    <row r="868" customFormat="false" ht="15" hidden="false" customHeight="false" outlineLevel="0" collapsed="false">
      <c r="A868" s="85" t="str">
        <f aca="false">Gov_Map!$H173&amp;""</f>
        <v>SRC_HW_063</v>
      </c>
      <c r="B868" s="66" t="s">
        <v>6791</v>
      </c>
      <c r="C868" s="53" t="n">
        <v>173</v>
      </c>
      <c r="D868" s="53" t="s">
        <v>6792</v>
      </c>
      <c r="E868" s="53" t="s">
        <v>6792</v>
      </c>
      <c r="F868" s="54" t="s">
        <v>587</v>
      </c>
    </row>
    <row r="869" customFormat="false" ht="15" hidden="false" customHeight="false" outlineLevel="0" collapsed="false">
      <c r="A869" s="85" t="str">
        <f aca="false">Gov_Map!$H174&amp;""</f>
        <v>—</v>
      </c>
      <c r="B869" s="66" t="s">
        <v>6791</v>
      </c>
      <c r="C869" s="53" t="n">
        <v>174</v>
      </c>
      <c r="D869" s="53" t="s">
        <v>6792</v>
      </c>
      <c r="E869" s="53" t="s">
        <v>6792</v>
      </c>
      <c r="F869" s="54" t="s">
        <v>587</v>
      </c>
    </row>
    <row r="870" customFormat="false" ht="15" hidden="false" customHeight="false" outlineLevel="0" collapsed="false">
      <c r="A870" s="85" t="str">
        <f aca="false">Gov_Map!$H175&amp;""</f>
        <v>SRC_HW_037</v>
      </c>
      <c r="B870" s="66" t="s">
        <v>6791</v>
      </c>
      <c r="C870" s="53" t="n">
        <v>175</v>
      </c>
      <c r="D870" s="53" t="s">
        <v>6792</v>
      </c>
      <c r="E870" s="53" t="s">
        <v>6792</v>
      </c>
      <c r="F870" s="54" t="s">
        <v>587</v>
      </c>
    </row>
    <row r="871" customFormat="false" ht="15" hidden="false" customHeight="false" outlineLevel="0" collapsed="false">
      <c r="A871" s="85" t="str">
        <f aca="false">Gov_Map!$H176&amp;""</f>
        <v>—</v>
      </c>
      <c r="B871" s="66" t="s">
        <v>6791</v>
      </c>
      <c r="C871" s="53" t="n">
        <v>176</v>
      </c>
      <c r="D871" s="53" t="s">
        <v>6792</v>
      </c>
      <c r="E871" s="53" t="s">
        <v>6792</v>
      </c>
      <c r="F871" s="54" t="s">
        <v>587</v>
      </c>
    </row>
    <row r="872" customFormat="false" ht="15" hidden="false" customHeight="false" outlineLevel="0" collapsed="false">
      <c r="A872" s="85" t="str">
        <f aca="false">Gov_Map!$H177&amp;""</f>
        <v>SRC_HW_037</v>
      </c>
      <c r="B872" s="66" t="s">
        <v>6791</v>
      </c>
      <c r="C872" s="53" t="n">
        <v>177</v>
      </c>
      <c r="D872" s="53" t="s">
        <v>6792</v>
      </c>
      <c r="E872" s="53" t="s">
        <v>6792</v>
      </c>
      <c r="F872" s="54" t="s">
        <v>587</v>
      </c>
    </row>
    <row r="873" customFormat="false" ht="15" hidden="false" customHeight="false" outlineLevel="0" collapsed="false">
      <c r="A873" s="85" t="str">
        <f aca="false">Gov_Map!$H178&amp;""</f>
        <v>—</v>
      </c>
      <c r="B873" s="66" t="s">
        <v>6791</v>
      </c>
      <c r="C873" s="53" t="n">
        <v>178</v>
      </c>
      <c r="D873" s="53" t="s">
        <v>6792</v>
      </c>
      <c r="E873" s="53" t="s">
        <v>6792</v>
      </c>
      <c r="F873" s="54" t="s">
        <v>587</v>
      </c>
    </row>
    <row r="874" customFormat="false" ht="15" hidden="false" customHeight="false" outlineLevel="0" collapsed="false">
      <c r="A874" s="85" t="str">
        <f aca="false">Gov_Map!$H179&amp;""</f>
        <v>SRC_MOD_005</v>
      </c>
      <c r="B874" s="66" t="s">
        <v>6791</v>
      </c>
      <c r="C874" s="53" t="n">
        <v>179</v>
      </c>
      <c r="D874" s="53" t="s">
        <v>6792</v>
      </c>
      <c r="E874" s="53" t="s">
        <v>6792</v>
      </c>
      <c r="F874" s="54" t="s">
        <v>587</v>
      </c>
    </row>
    <row r="875" customFormat="false" ht="15" hidden="false" customHeight="false" outlineLevel="0" collapsed="false">
      <c r="A875" s="85" t="str">
        <f aca="false">Gov_Map!$H180&amp;""</f>
        <v>SRC_MOD_001</v>
      </c>
      <c r="B875" s="66" t="s">
        <v>6791</v>
      </c>
      <c r="C875" s="53" t="n">
        <v>180</v>
      </c>
      <c r="D875" s="53" t="s">
        <v>6792</v>
      </c>
      <c r="E875" s="53" t="s">
        <v>6792</v>
      </c>
      <c r="F875" s="54" t="s">
        <v>587</v>
      </c>
    </row>
    <row r="876" customFormat="false" ht="15" hidden="false" customHeight="false" outlineLevel="0" collapsed="false">
      <c r="A876" s="85" t="str">
        <f aca="false">Gov_Map!$H181&amp;""</f>
        <v>SRC_MOD_006</v>
      </c>
      <c r="B876" s="66" t="s">
        <v>6791</v>
      </c>
      <c r="C876" s="53" t="n">
        <v>181</v>
      </c>
      <c r="D876" s="53" t="s">
        <v>6792</v>
      </c>
      <c r="E876" s="53" t="s">
        <v>6792</v>
      </c>
      <c r="F876" s="54" t="s">
        <v>587</v>
      </c>
    </row>
    <row r="877" customFormat="false" ht="15" hidden="false" customHeight="false" outlineLevel="0" collapsed="false">
      <c r="A877" s="85" t="str">
        <f aca="false">Gov_Map!$H182&amp;""</f>
        <v>SRC_MOD_002</v>
      </c>
      <c r="B877" s="66" t="s">
        <v>6791</v>
      </c>
      <c r="C877" s="53" t="n">
        <v>182</v>
      </c>
      <c r="D877" s="53" t="s">
        <v>6792</v>
      </c>
      <c r="E877" s="53" t="s">
        <v>6792</v>
      </c>
      <c r="F877" s="54" t="s">
        <v>587</v>
      </c>
    </row>
    <row r="878" customFormat="false" ht="15" hidden="false" customHeight="false" outlineLevel="0" collapsed="false">
      <c r="A878" s="85" t="str">
        <f aca="false">Gov_Map!$H183&amp;""</f>
        <v>SRC_MOD_007</v>
      </c>
      <c r="B878" s="66" t="s">
        <v>6791</v>
      </c>
      <c r="C878" s="53" t="n">
        <v>183</v>
      </c>
      <c r="D878" s="53" t="s">
        <v>6792</v>
      </c>
      <c r="E878" s="53" t="s">
        <v>6792</v>
      </c>
      <c r="F878" s="54" t="s">
        <v>587</v>
      </c>
    </row>
    <row r="879" customFormat="false" ht="15" hidden="false" customHeight="false" outlineLevel="0" collapsed="false">
      <c r="A879" s="85" t="str">
        <f aca="false">Gov_Map!$H184&amp;""</f>
        <v>SRC_MOD_003</v>
      </c>
      <c r="B879" s="66" t="s">
        <v>6791</v>
      </c>
      <c r="C879" s="53" t="n">
        <v>184</v>
      </c>
      <c r="D879" s="53" t="s">
        <v>6792</v>
      </c>
      <c r="E879" s="53" t="s">
        <v>6792</v>
      </c>
      <c r="F879" s="54" t="s">
        <v>587</v>
      </c>
    </row>
    <row r="880" customFormat="false" ht="15" hidden="false" customHeight="false" outlineLevel="0" collapsed="false">
      <c r="A880" s="85" t="str">
        <f aca="false">Gov_Map!$H185&amp;""</f>
        <v>SRC_MOD_009</v>
      </c>
      <c r="B880" s="66" t="s">
        <v>6791</v>
      </c>
      <c r="C880" s="53" t="n">
        <v>185</v>
      </c>
      <c r="D880" s="53" t="s">
        <v>6792</v>
      </c>
      <c r="E880" s="53" t="s">
        <v>6792</v>
      </c>
      <c r="F880" s="54" t="s">
        <v>587</v>
      </c>
    </row>
    <row r="881" customFormat="false" ht="15" hidden="false" customHeight="false" outlineLevel="0" collapsed="false">
      <c r="A881" s="85" t="str">
        <f aca="false">Gov_Map!$H186&amp;""</f>
        <v>SRC_MOD_009</v>
      </c>
      <c r="B881" s="66" t="s">
        <v>6791</v>
      </c>
      <c r="C881" s="53" t="n">
        <v>186</v>
      </c>
      <c r="D881" s="53" t="s">
        <v>6792</v>
      </c>
      <c r="E881" s="53" t="s">
        <v>6792</v>
      </c>
      <c r="F881" s="54" t="s">
        <v>587</v>
      </c>
    </row>
    <row r="882" customFormat="false" ht="15" hidden="false" customHeight="false" outlineLevel="0" collapsed="false">
      <c r="A882" s="85" t="str">
        <f aca="false">Gov_Map!$H187&amp;""</f>
        <v>SRC_MOD_010</v>
      </c>
      <c r="B882" s="66" t="s">
        <v>6791</v>
      </c>
      <c r="C882" s="53" t="n">
        <v>187</v>
      </c>
      <c r="D882" s="53" t="s">
        <v>6792</v>
      </c>
      <c r="E882" s="53" t="s">
        <v>6792</v>
      </c>
      <c r="F882" s="54" t="s">
        <v>587</v>
      </c>
    </row>
    <row r="883" customFormat="false" ht="15" hidden="false" customHeight="false" outlineLevel="0" collapsed="false">
      <c r="A883" s="85" t="str">
        <f aca="false">Gov_Map!$H188&amp;""</f>
        <v>SRC_MOD_011</v>
      </c>
      <c r="B883" s="66" t="s">
        <v>6791</v>
      </c>
      <c r="C883" s="53" t="n">
        <v>188</v>
      </c>
      <c r="D883" s="53" t="s">
        <v>6792</v>
      </c>
      <c r="E883" s="53" t="s">
        <v>6792</v>
      </c>
      <c r="F883" s="54" t="s">
        <v>587</v>
      </c>
    </row>
    <row r="884" customFormat="false" ht="15" hidden="false" customHeight="false" outlineLevel="0" collapsed="false">
      <c r="A884" s="85" t="str">
        <f aca="false">Gov_Map!$H189&amp;""</f>
        <v>SRC_MOD_012</v>
      </c>
      <c r="B884" s="66" t="s">
        <v>6791</v>
      </c>
      <c r="C884" s="53" t="n">
        <v>189</v>
      </c>
      <c r="D884" s="53" t="s">
        <v>6792</v>
      </c>
      <c r="E884" s="53" t="s">
        <v>6792</v>
      </c>
      <c r="F884" s="54" t="s">
        <v>587</v>
      </c>
    </row>
    <row r="885" customFormat="false" ht="15" hidden="false" customHeight="false" outlineLevel="0" collapsed="false">
      <c r="A885" s="85" t="str">
        <f aca="false">Gov_Map!$H190&amp;""</f>
        <v>SRC_MOD_012</v>
      </c>
      <c r="B885" s="66" t="s">
        <v>6791</v>
      </c>
      <c r="C885" s="53" t="n">
        <v>190</v>
      </c>
      <c r="D885" s="53" t="s">
        <v>6792</v>
      </c>
      <c r="E885" s="53" t="s">
        <v>6792</v>
      </c>
      <c r="F885" s="54" t="s">
        <v>587</v>
      </c>
    </row>
    <row r="886" customFormat="false" ht="15" hidden="false" customHeight="false" outlineLevel="0" collapsed="false">
      <c r="A886" s="85" t="str">
        <f aca="false">Gov_Map!$H191&amp;""</f>
        <v>SRC_MOD_013</v>
      </c>
      <c r="B886" s="66" t="s">
        <v>6791</v>
      </c>
      <c r="C886" s="53" t="n">
        <v>191</v>
      </c>
      <c r="D886" s="53" t="s">
        <v>6792</v>
      </c>
      <c r="E886" s="53" t="s">
        <v>6792</v>
      </c>
      <c r="F886" s="54" t="s">
        <v>587</v>
      </c>
    </row>
    <row r="887" customFormat="false" ht="15" hidden="false" customHeight="false" outlineLevel="0" collapsed="false">
      <c r="A887" s="85" t="str">
        <f aca="false">Gov_Map!$H192&amp;""</f>
        <v>SRC_MOD_013</v>
      </c>
      <c r="B887" s="66" t="s">
        <v>6791</v>
      </c>
      <c r="C887" s="53" t="n">
        <v>192</v>
      </c>
      <c r="D887" s="53" t="s">
        <v>6792</v>
      </c>
      <c r="E887" s="53" t="s">
        <v>6792</v>
      </c>
      <c r="F887" s="54" t="s">
        <v>587</v>
      </c>
    </row>
    <row r="888" customFormat="false" ht="15" hidden="false" customHeight="false" outlineLevel="0" collapsed="false">
      <c r="A888" s="85" t="str">
        <f aca="false">Gov_Map!$H193&amp;""</f>
        <v>SRC_MOD_014</v>
      </c>
      <c r="B888" s="66" t="s">
        <v>6791</v>
      </c>
      <c r="C888" s="53" t="n">
        <v>193</v>
      </c>
      <c r="D888" s="53" t="s">
        <v>6792</v>
      </c>
      <c r="E888" s="53" t="s">
        <v>6792</v>
      </c>
      <c r="F888" s="54" t="s">
        <v>587</v>
      </c>
    </row>
    <row r="889" customFormat="false" ht="15" hidden="false" customHeight="false" outlineLevel="0" collapsed="false">
      <c r="A889" s="85" t="str">
        <f aca="false">Gov_Map!$H194&amp;""</f>
        <v>SRC_MOD_014</v>
      </c>
      <c r="B889" s="66" t="s">
        <v>6791</v>
      </c>
      <c r="C889" s="53" t="n">
        <v>194</v>
      </c>
      <c r="D889" s="53" t="s">
        <v>6792</v>
      </c>
      <c r="E889" s="53" t="s">
        <v>6792</v>
      </c>
      <c r="F889" s="54" t="s">
        <v>587</v>
      </c>
    </row>
    <row r="890" customFormat="false" ht="15" hidden="false" customHeight="false" outlineLevel="0" collapsed="false">
      <c r="A890" s="85" t="str">
        <f aca="false">Gov_Map!$H195&amp;""</f>
        <v>SRC_MOD_015</v>
      </c>
      <c r="B890" s="66" t="s">
        <v>6791</v>
      </c>
      <c r="C890" s="53" t="n">
        <v>195</v>
      </c>
      <c r="D890" s="53" t="s">
        <v>6792</v>
      </c>
      <c r="E890" s="53" t="s">
        <v>6792</v>
      </c>
      <c r="F890" s="54" t="s">
        <v>587</v>
      </c>
    </row>
    <row r="891" customFormat="false" ht="15" hidden="false" customHeight="false" outlineLevel="0" collapsed="false">
      <c r="A891" s="85" t="str">
        <f aca="false">Gov_Map!$H196&amp;""</f>
        <v>SRC_MOD_015</v>
      </c>
      <c r="B891" s="66" t="s">
        <v>6791</v>
      </c>
      <c r="C891" s="53" t="n">
        <v>196</v>
      </c>
      <c r="D891" s="53" t="s">
        <v>6792</v>
      </c>
      <c r="E891" s="53" t="s">
        <v>6792</v>
      </c>
      <c r="F891" s="54" t="s">
        <v>587</v>
      </c>
    </row>
    <row r="892" customFormat="false" ht="15" hidden="false" customHeight="false" outlineLevel="0" collapsed="false">
      <c r="A892" s="85" t="str">
        <f aca="false">Gov_Map!$H197&amp;""</f>
        <v>SRC_MOD_016</v>
      </c>
      <c r="B892" s="66" t="s">
        <v>6791</v>
      </c>
      <c r="C892" s="53" t="n">
        <v>197</v>
      </c>
      <c r="D892" s="53" t="s">
        <v>6792</v>
      </c>
      <c r="E892" s="53" t="s">
        <v>6792</v>
      </c>
      <c r="F892" s="54" t="s">
        <v>587</v>
      </c>
    </row>
    <row r="893" customFormat="false" ht="15" hidden="false" customHeight="false" outlineLevel="0" collapsed="false">
      <c r="A893" s="85" t="str">
        <f aca="false">Gov_Map!$H198&amp;""</f>
        <v>SRC_MOD_016</v>
      </c>
      <c r="B893" s="66" t="s">
        <v>6791</v>
      </c>
      <c r="C893" s="53" t="n">
        <v>198</v>
      </c>
      <c r="D893" s="53" t="s">
        <v>6792</v>
      </c>
      <c r="E893" s="53" t="s">
        <v>6792</v>
      </c>
      <c r="F893" s="54" t="s">
        <v>587</v>
      </c>
    </row>
    <row r="894" customFormat="false" ht="15" hidden="false" customHeight="false" outlineLevel="0" collapsed="false">
      <c r="A894" s="85" t="str">
        <f aca="false">Gov_Map!$H199&amp;""</f>
        <v>SRC_MOD_017</v>
      </c>
      <c r="B894" s="66" t="s">
        <v>6791</v>
      </c>
      <c r="C894" s="53" t="n">
        <v>199</v>
      </c>
      <c r="D894" s="53" t="s">
        <v>6792</v>
      </c>
      <c r="E894" s="53" t="s">
        <v>6792</v>
      </c>
      <c r="F894" s="54" t="s">
        <v>587</v>
      </c>
    </row>
    <row r="895" customFormat="false" ht="15" hidden="false" customHeight="false" outlineLevel="0" collapsed="false">
      <c r="A895" s="85" t="str">
        <f aca="false">Gov_Map!$H200&amp;""</f>
        <v>SRC_MOD_017</v>
      </c>
      <c r="B895" s="66" t="s">
        <v>6791</v>
      </c>
      <c r="C895" s="53" t="n">
        <v>200</v>
      </c>
      <c r="D895" s="53" t="s">
        <v>6792</v>
      </c>
      <c r="E895" s="53" t="s">
        <v>6792</v>
      </c>
      <c r="F895" s="54" t="s">
        <v>587</v>
      </c>
    </row>
    <row r="896" customFormat="false" ht="15" hidden="false" customHeight="false" outlineLevel="0" collapsed="false">
      <c r="A896" s="85" t="str">
        <f aca="false">Gov_Map!$H201&amp;""</f>
        <v>SRC_MOD_004</v>
      </c>
      <c r="B896" s="66" t="s">
        <v>6791</v>
      </c>
      <c r="C896" s="53" t="n">
        <v>201</v>
      </c>
      <c r="D896" s="53" t="s">
        <v>6792</v>
      </c>
      <c r="E896" s="53" t="s">
        <v>6792</v>
      </c>
      <c r="F896" s="54" t="s">
        <v>587</v>
      </c>
    </row>
    <row r="897" customFormat="false" ht="15" hidden="false" customHeight="false" outlineLevel="0" collapsed="false">
      <c r="A897" s="85" t="str">
        <f aca="false">Gov_Map!$H202&amp;""</f>
        <v>SRC_MOD_008</v>
      </c>
      <c r="B897" s="66" t="s">
        <v>6791</v>
      </c>
      <c r="C897" s="53" t="n">
        <v>202</v>
      </c>
      <c r="D897" s="53" t="s">
        <v>6792</v>
      </c>
      <c r="E897" s="53" t="s">
        <v>6792</v>
      </c>
      <c r="F897" s="54" t="s">
        <v>587</v>
      </c>
    </row>
    <row r="898" customFormat="false" ht="15" hidden="false" customHeight="false" outlineLevel="0" collapsed="false">
      <c r="A898" s="85" t="str">
        <f aca="false">Gov_Map!$H203&amp;""</f>
        <v>SRC_MOD_052</v>
      </c>
      <c r="B898" s="66" t="s">
        <v>6791</v>
      </c>
      <c r="C898" s="53" t="n">
        <v>203</v>
      </c>
      <c r="D898" s="53" t="s">
        <v>6792</v>
      </c>
      <c r="E898" s="53" t="s">
        <v>6792</v>
      </c>
      <c r="F898" s="54" t="s">
        <v>587</v>
      </c>
    </row>
    <row r="899" customFormat="false" ht="15" hidden="false" customHeight="false" outlineLevel="0" collapsed="false">
      <c r="A899" s="85" t="str">
        <f aca="false">Gov_Map!$H204&amp;""</f>
        <v>SRC_MOD_053</v>
      </c>
      <c r="B899" s="66" t="s">
        <v>6791</v>
      </c>
      <c r="C899" s="53" t="n">
        <v>204</v>
      </c>
      <c r="D899" s="53" t="s">
        <v>6792</v>
      </c>
      <c r="E899" s="53" t="s">
        <v>6792</v>
      </c>
      <c r="F899" s="54" t="s">
        <v>587</v>
      </c>
    </row>
    <row r="900" customFormat="false" ht="15" hidden="false" customHeight="false" outlineLevel="0" collapsed="false">
      <c r="A900" s="85" t="str">
        <f aca="false">Gov_Map!$H205&amp;""</f>
        <v>SRC_MOD_018</v>
      </c>
      <c r="B900" s="66" t="s">
        <v>6791</v>
      </c>
      <c r="C900" s="53" t="n">
        <v>205</v>
      </c>
      <c r="D900" s="53" t="s">
        <v>6792</v>
      </c>
      <c r="E900" s="53" t="s">
        <v>6792</v>
      </c>
      <c r="F900" s="54" t="s">
        <v>587</v>
      </c>
    </row>
    <row r="901" customFormat="false" ht="15" hidden="false" customHeight="false" outlineLevel="0" collapsed="false">
      <c r="A901" s="85" t="str">
        <f aca="false">Gov_Map!$H206&amp;""</f>
        <v>SRC_MOD_018</v>
      </c>
      <c r="B901" s="66" t="s">
        <v>6791</v>
      </c>
      <c r="C901" s="53" t="n">
        <v>206</v>
      </c>
      <c r="D901" s="53" t="s">
        <v>6792</v>
      </c>
      <c r="E901" s="53" t="s">
        <v>6792</v>
      </c>
      <c r="F901" s="54" t="s">
        <v>587</v>
      </c>
    </row>
    <row r="902" customFormat="false" ht="15" hidden="false" customHeight="false" outlineLevel="0" collapsed="false">
      <c r="A902" s="85" t="str">
        <f aca="false">Gov_Map!$H207&amp;""</f>
        <v>—</v>
      </c>
      <c r="B902" s="66" t="s">
        <v>6791</v>
      </c>
      <c r="C902" s="53" t="n">
        <v>207</v>
      </c>
      <c r="D902" s="53" t="s">
        <v>6792</v>
      </c>
      <c r="E902" s="53" t="s">
        <v>6792</v>
      </c>
      <c r="F902" s="54" t="s">
        <v>587</v>
      </c>
    </row>
    <row r="903" customFormat="false" ht="15" hidden="false" customHeight="false" outlineLevel="0" collapsed="false">
      <c r="A903" s="85" t="str">
        <f aca="false">Gov_Map!$H208&amp;""</f>
        <v>—</v>
      </c>
      <c r="B903" s="66" t="s">
        <v>6791</v>
      </c>
      <c r="C903" s="53" t="n">
        <v>208</v>
      </c>
      <c r="D903" s="53" t="s">
        <v>6792</v>
      </c>
      <c r="E903" s="53" t="s">
        <v>6792</v>
      </c>
      <c r="F903" s="54" t="s">
        <v>587</v>
      </c>
    </row>
    <row r="904" customFormat="false" ht="15" hidden="false" customHeight="false" outlineLevel="0" collapsed="false">
      <c r="A904" s="85" t="str">
        <f aca="false">Gov_Map!$H209&amp;""</f>
        <v>—</v>
      </c>
      <c r="B904" s="66" t="s">
        <v>6791</v>
      </c>
      <c r="C904" s="53" t="n">
        <v>209</v>
      </c>
      <c r="D904" s="53" t="s">
        <v>6792</v>
      </c>
      <c r="E904" s="53" t="s">
        <v>6792</v>
      </c>
      <c r="F904" s="54" t="s">
        <v>587</v>
      </c>
    </row>
    <row r="905" customFormat="false" ht="15" hidden="false" customHeight="false" outlineLevel="0" collapsed="false">
      <c r="A905" s="85" t="str">
        <f aca="false">Gov_Map!$H210&amp;""</f>
        <v>—</v>
      </c>
      <c r="B905" s="66" t="s">
        <v>6791</v>
      </c>
      <c r="C905" s="53" t="n">
        <v>210</v>
      </c>
      <c r="D905" s="53" t="s">
        <v>6792</v>
      </c>
      <c r="E905" s="53" t="s">
        <v>6792</v>
      </c>
      <c r="F905" s="54" t="s">
        <v>587</v>
      </c>
    </row>
    <row r="906" customFormat="false" ht="15" hidden="false" customHeight="false" outlineLevel="0" collapsed="false">
      <c r="A906" s="85" t="str">
        <f aca="false">Gov_Map!$H211&amp;""</f>
        <v>—</v>
      </c>
      <c r="B906" s="66" t="s">
        <v>6791</v>
      </c>
      <c r="C906" s="53" t="n">
        <v>211</v>
      </c>
      <c r="D906" s="53" t="s">
        <v>6792</v>
      </c>
      <c r="E906" s="53" t="s">
        <v>6792</v>
      </c>
      <c r="F906" s="54" t="s">
        <v>587</v>
      </c>
    </row>
    <row r="907" customFormat="false" ht="15" hidden="false" customHeight="false" outlineLevel="0" collapsed="false">
      <c r="A907" s="85" t="str">
        <f aca="false">Gov_Map!$H212&amp;""</f>
        <v>—</v>
      </c>
      <c r="B907" s="66" t="s">
        <v>6791</v>
      </c>
      <c r="C907" s="53" t="n">
        <v>212</v>
      </c>
      <c r="D907" s="53" t="s">
        <v>6792</v>
      </c>
      <c r="E907" s="53" t="s">
        <v>6792</v>
      </c>
      <c r="F907" s="54" t="s">
        <v>587</v>
      </c>
    </row>
    <row r="908" customFormat="false" ht="15" hidden="false" customHeight="false" outlineLevel="0" collapsed="false">
      <c r="A908" s="85" t="str">
        <f aca="false">Gov_Map!$H213&amp;""</f>
        <v>—</v>
      </c>
      <c r="B908" s="66" t="s">
        <v>6791</v>
      </c>
      <c r="C908" s="53" t="n">
        <v>213</v>
      </c>
      <c r="D908" s="53" t="s">
        <v>6792</v>
      </c>
      <c r="E908" s="53" t="s">
        <v>6792</v>
      </c>
      <c r="F908" s="54" t="s">
        <v>587</v>
      </c>
    </row>
    <row r="909" customFormat="false" ht="15" hidden="false" customHeight="false" outlineLevel="0" collapsed="false">
      <c r="A909" s="85" t="str">
        <f aca="false">Gov_Map!$H214&amp;""</f>
        <v>—</v>
      </c>
      <c r="B909" s="66" t="s">
        <v>6791</v>
      </c>
      <c r="C909" s="53" t="n">
        <v>214</v>
      </c>
      <c r="D909" s="53" t="s">
        <v>6792</v>
      </c>
      <c r="E909" s="53" t="s">
        <v>6792</v>
      </c>
      <c r="F909" s="54" t="s">
        <v>587</v>
      </c>
    </row>
    <row r="910" customFormat="false" ht="15" hidden="false" customHeight="false" outlineLevel="0" collapsed="false">
      <c r="A910" s="85" t="str">
        <f aca="false">Gov_Map!$H215&amp;""</f>
        <v>—</v>
      </c>
      <c r="B910" s="66" t="s">
        <v>6791</v>
      </c>
      <c r="C910" s="53" t="n">
        <v>215</v>
      </c>
      <c r="D910" s="53" t="s">
        <v>6792</v>
      </c>
      <c r="E910" s="53" t="s">
        <v>6792</v>
      </c>
      <c r="F910" s="54" t="s">
        <v>587</v>
      </c>
    </row>
    <row r="911" customFormat="false" ht="15" hidden="false" customHeight="false" outlineLevel="0" collapsed="false">
      <c r="A911" s="85" t="str">
        <f aca="false">Gov_Map!$H216&amp;""</f>
        <v>—</v>
      </c>
      <c r="B911" s="66" t="s">
        <v>6791</v>
      </c>
      <c r="C911" s="53" t="n">
        <v>216</v>
      </c>
      <c r="D911" s="53" t="s">
        <v>6792</v>
      </c>
      <c r="E911" s="53" t="s">
        <v>6792</v>
      </c>
      <c r="F911" s="54" t="s">
        <v>587</v>
      </c>
    </row>
    <row r="912" customFormat="false" ht="15" hidden="false" customHeight="false" outlineLevel="0" collapsed="false">
      <c r="A912" s="85" t="str">
        <f aca="false">Gov_Map!$H217&amp;""</f>
        <v>—</v>
      </c>
      <c r="B912" s="66" t="s">
        <v>6791</v>
      </c>
      <c r="C912" s="53" t="n">
        <v>217</v>
      </c>
      <c r="D912" s="53" t="s">
        <v>6792</v>
      </c>
      <c r="E912" s="53" t="s">
        <v>6792</v>
      </c>
      <c r="F912" s="54" t="s">
        <v>587</v>
      </c>
    </row>
    <row r="913" customFormat="false" ht="15" hidden="false" customHeight="false" outlineLevel="0" collapsed="false">
      <c r="A913" s="85" t="str">
        <f aca="false">Gov_Map!$H218&amp;""</f>
        <v>—</v>
      </c>
      <c r="B913" s="66" t="s">
        <v>6791</v>
      </c>
      <c r="C913" s="53" t="n">
        <v>218</v>
      </c>
      <c r="D913" s="53" t="s">
        <v>6792</v>
      </c>
      <c r="E913" s="53" t="s">
        <v>6792</v>
      </c>
      <c r="F913" s="54" t="s">
        <v>587</v>
      </c>
    </row>
    <row r="914" customFormat="false" ht="15" hidden="false" customHeight="false" outlineLevel="0" collapsed="false">
      <c r="A914" s="85" t="str">
        <f aca="false">Gov_Map!$H219&amp;""</f>
        <v>—</v>
      </c>
      <c r="B914" s="66" t="s">
        <v>6791</v>
      </c>
      <c r="C914" s="53" t="n">
        <v>219</v>
      </c>
      <c r="D914" s="53" t="s">
        <v>6792</v>
      </c>
      <c r="E914" s="53" t="s">
        <v>6792</v>
      </c>
      <c r="F914" s="54" t="s">
        <v>587</v>
      </c>
    </row>
    <row r="915" customFormat="false" ht="15" hidden="false" customHeight="false" outlineLevel="0" collapsed="false">
      <c r="A915" s="85" t="str">
        <f aca="false">Gov_Map!$H220&amp;""</f>
        <v>—</v>
      </c>
      <c r="B915" s="66" t="s">
        <v>6791</v>
      </c>
      <c r="C915" s="53" t="n">
        <v>220</v>
      </c>
      <c r="D915" s="53" t="s">
        <v>6792</v>
      </c>
      <c r="E915" s="53" t="s">
        <v>6792</v>
      </c>
      <c r="F915" s="54" t="s">
        <v>587</v>
      </c>
    </row>
    <row r="916" customFormat="false" ht="15" hidden="false" customHeight="false" outlineLevel="0" collapsed="false">
      <c r="A916" s="85" t="str">
        <f aca="false">Gov_Map!$H221&amp;""</f>
        <v>—</v>
      </c>
      <c r="B916" s="66" t="s">
        <v>6791</v>
      </c>
      <c r="C916" s="53" t="n">
        <v>221</v>
      </c>
      <c r="D916" s="53" t="s">
        <v>6792</v>
      </c>
      <c r="E916" s="53" t="s">
        <v>6792</v>
      </c>
      <c r="F916" s="54" t="s">
        <v>587</v>
      </c>
    </row>
    <row r="917" customFormat="false" ht="15" hidden="false" customHeight="false" outlineLevel="0" collapsed="false">
      <c r="A917" s="85" t="str">
        <f aca="false">Gov_Map!$H222&amp;""</f>
        <v>—</v>
      </c>
      <c r="B917" s="66" t="s">
        <v>6791</v>
      </c>
      <c r="C917" s="53" t="n">
        <v>222</v>
      </c>
      <c r="D917" s="53" t="s">
        <v>6792</v>
      </c>
      <c r="E917" s="53" t="s">
        <v>6792</v>
      </c>
      <c r="F917" s="54" t="s">
        <v>587</v>
      </c>
    </row>
    <row r="918" customFormat="false" ht="15" hidden="false" customHeight="false" outlineLevel="0" collapsed="false">
      <c r="A918" s="85" t="str">
        <f aca="false">Gov_Map!$H223&amp;""</f>
        <v>—</v>
      </c>
      <c r="B918" s="66" t="s">
        <v>6791</v>
      </c>
      <c r="C918" s="53" t="n">
        <v>223</v>
      </c>
      <c r="D918" s="53" t="s">
        <v>6792</v>
      </c>
      <c r="E918" s="53" t="s">
        <v>6792</v>
      </c>
      <c r="F918" s="54" t="s">
        <v>587</v>
      </c>
    </row>
    <row r="919" customFormat="false" ht="15" hidden="false" customHeight="false" outlineLevel="0" collapsed="false">
      <c r="A919" s="85" t="str">
        <f aca="false">Gov_Map!$H224&amp;""</f>
        <v>—</v>
      </c>
      <c r="B919" s="66" t="s">
        <v>6791</v>
      </c>
      <c r="C919" s="53" t="n">
        <v>224</v>
      </c>
      <c r="D919" s="53" t="s">
        <v>6792</v>
      </c>
      <c r="E919" s="53" t="s">
        <v>6792</v>
      </c>
      <c r="F919" s="54" t="s">
        <v>587</v>
      </c>
    </row>
    <row r="920" customFormat="false" ht="15" hidden="false" customHeight="false" outlineLevel="0" collapsed="false">
      <c r="A920" s="85" t="str">
        <f aca="false">Gov_Map!$H225&amp;""</f>
        <v>—</v>
      </c>
      <c r="B920" s="66" t="s">
        <v>6791</v>
      </c>
      <c r="C920" s="53" t="n">
        <v>225</v>
      </c>
      <c r="D920" s="53" t="s">
        <v>6792</v>
      </c>
      <c r="E920" s="53" t="s">
        <v>6792</v>
      </c>
      <c r="F920" s="54" t="s">
        <v>587</v>
      </c>
    </row>
    <row r="921" customFormat="false" ht="15" hidden="false" customHeight="false" outlineLevel="0" collapsed="false">
      <c r="A921" s="85" t="str">
        <f aca="false">Gov_Map!$H226&amp;""</f>
        <v>—</v>
      </c>
      <c r="B921" s="66" t="s">
        <v>6791</v>
      </c>
      <c r="C921" s="53" t="n">
        <v>226</v>
      </c>
      <c r="D921" s="53" t="s">
        <v>6792</v>
      </c>
      <c r="E921" s="53" t="s">
        <v>6792</v>
      </c>
      <c r="F921" s="54" t="s">
        <v>587</v>
      </c>
    </row>
    <row r="922" customFormat="false" ht="15" hidden="false" customHeight="false" outlineLevel="0" collapsed="false">
      <c r="A922" s="85" t="str">
        <f aca="false">Gov_Map!$H227&amp;""</f>
        <v>—</v>
      </c>
      <c r="B922" s="66" t="s">
        <v>6791</v>
      </c>
      <c r="C922" s="53" t="n">
        <v>227</v>
      </c>
      <c r="D922" s="53" t="s">
        <v>6792</v>
      </c>
      <c r="E922" s="53" t="s">
        <v>6792</v>
      </c>
      <c r="F922" s="54" t="s">
        <v>587</v>
      </c>
    </row>
    <row r="923" customFormat="false" ht="15" hidden="false" customHeight="false" outlineLevel="0" collapsed="false">
      <c r="A923" s="85" t="str">
        <f aca="false">Gov_Map!$H228&amp;""</f>
        <v>—</v>
      </c>
      <c r="B923" s="66" t="s">
        <v>6791</v>
      </c>
      <c r="C923" s="53" t="n">
        <v>228</v>
      </c>
      <c r="D923" s="53" t="s">
        <v>6792</v>
      </c>
      <c r="E923" s="53" t="s">
        <v>6792</v>
      </c>
      <c r="F923" s="54" t="s">
        <v>587</v>
      </c>
    </row>
    <row r="924" customFormat="false" ht="15" hidden="false" customHeight="false" outlineLevel="0" collapsed="false">
      <c r="A924" s="85" t="str">
        <f aca="false">Gov_Map!$H229&amp;""</f>
        <v>—</v>
      </c>
      <c r="B924" s="66" t="s">
        <v>6791</v>
      </c>
      <c r="C924" s="53" t="n">
        <v>229</v>
      </c>
      <c r="D924" s="53" t="s">
        <v>6792</v>
      </c>
      <c r="E924" s="53" t="s">
        <v>6792</v>
      </c>
      <c r="F924" s="54" t="s">
        <v>587</v>
      </c>
    </row>
    <row r="925" customFormat="false" ht="15" hidden="false" customHeight="false" outlineLevel="0" collapsed="false">
      <c r="A925" s="85" t="str">
        <f aca="false">Gov_Map!$H230&amp;""</f>
        <v>—</v>
      </c>
      <c r="B925" s="66" t="s">
        <v>6791</v>
      </c>
      <c r="C925" s="53" t="n">
        <v>230</v>
      </c>
      <c r="D925" s="53" t="s">
        <v>6792</v>
      </c>
      <c r="E925" s="53" t="s">
        <v>6792</v>
      </c>
      <c r="F925" s="54" t="s">
        <v>587</v>
      </c>
    </row>
    <row r="926" customFormat="false" ht="15" hidden="false" customHeight="false" outlineLevel="0" collapsed="false">
      <c r="A926" s="85" t="str">
        <f aca="false">Gov_Map!$H231&amp;""</f>
        <v>SRC_PERF_035</v>
      </c>
      <c r="B926" s="66" t="s">
        <v>6791</v>
      </c>
      <c r="C926" s="53" t="n">
        <v>231</v>
      </c>
      <c r="D926" s="53" t="s">
        <v>6792</v>
      </c>
      <c r="E926" s="53" t="s">
        <v>6792</v>
      </c>
      <c r="F926" s="54" t="s">
        <v>587</v>
      </c>
    </row>
    <row r="927" customFormat="false" ht="15" hidden="false" customHeight="false" outlineLevel="0" collapsed="false">
      <c r="A927" s="85" t="str">
        <f aca="false">Gov_Map!$H232&amp;""</f>
        <v>SRC_PERF_005</v>
      </c>
      <c r="B927" s="66" t="s">
        <v>6791</v>
      </c>
      <c r="C927" s="53" t="n">
        <v>232</v>
      </c>
      <c r="D927" s="53" t="s">
        <v>6792</v>
      </c>
      <c r="E927" s="53" t="s">
        <v>6792</v>
      </c>
      <c r="F927" s="54" t="s">
        <v>587</v>
      </c>
    </row>
    <row r="928" customFormat="false" ht="15" hidden="false" customHeight="false" outlineLevel="0" collapsed="false">
      <c r="A928" s="85" t="str">
        <f aca="false">Gov_Map!$H233&amp;""</f>
        <v>—</v>
      </c>
      <c r="B928" s="66" t="s">
        <v>6791</v>
      </c>
      <c r="C928" s="53" t="n">
        <v>233</v>
      </c>
      <c r="D928" s="53" t="s">
        <v>6792</v>
      </c>
      <c r="E928" s="53" t="s">
        <v>6792</v>
      </c>
      <c r="F928" s="54" t="s">
        <v>587</v>
      </c>
    </row>
    <row r="929" customFormat="false" ht="15" hidden="false" customHeight="false" outlineLevel="0" collapsed="false">
      <c r="A929" s="85" t="str">
        <f aca="false">Gov_Map!$H234&amp;""</f>
        <v>—</v>
      </c>
      <c r="B929" s="66" t="s">
        <v>6791</v>
      </c>
      <c r="C929" s="53" t="n">
        <v>234</v>
      </c>
      <c r="D929" s="53" t="s">
        <v>6792</v>
      </c>
      <c r="E929" s="53" t="s">
        <v>6792</v>
      </c>
      <c r="F929" s="54" t="s">
        <v>587</v>
      </c>
    </row>
    <row r="930" customFormat="false" ht="15" hidden="false" customHeight="false" outlineLevel="0" collapsed="false">
      <c r="A930" s="85" t="str">
        <f aca="false">Gov_Map!$H235&amp;""</f>
        <v>—</v>
      </c>
      <c r="B930" s="66" t="s">
        <v>6791</v>
      </c>
      <c r="C930" s="53" t="n">
        <v>235</v>
      </c>
      <c r="D930" s="53" t="s">
        <v>6792</v>
      </c>
      <c r="E930" s="53" t="s">
        <v>6792</v>
      </c>
      <c r="F930" s="54" t="s">
        <v>587</v>
      </c>
    </row>
    <row r="931" customFormat="false" ht="15" hidden="false" customHeight="false" outlineLevel="0" collapsed="false">
      <c r="A931" s="85" t="str">
        <f aca="false">Gov_Map!$H236&amp;""</f>
        <v>—</v>
      </c>
      <c r="B931" s="66" t="s">
        <v>6791</v>
      </c>
      <c r="C931" s="53" t="n">
        <v>236</v>
      </c>
      <c r="D931" s="53" t="s">
        <v>6792</v>
      </c>
      <c r="E931" s="53" t="s">
        <v>6792</v>
      </c>
      <c r="F931" s="54" t="s">
        <v>587</v>
      </c>
    </row>
    <row r="932" customFormat="false" ht="15" hidden="false" customHeight="false" outlineLevel="0" collapsed="false">
      <c r="A932" s="85" t="str">
        <f aca="false">Gov_Map!$H237&amp;""</f>
        <v>—</v>
      </c>
      <c r="B932" s="66" t="s">
        <v>6791</v>
      </c>
      <c r="C932" s="53" t="n">
        <v>237</v>
      </c>
      <c r="D932" s="53" t="s">
        <v>6792</v>
      </c>
      <c r="E932" s="53" t="s">
        <v>6792</v>
      </c>
      <c r="F932" s="54" t="s">
        <v>587</v>
      </c>
    </row>
    <row r="933" customFormat="false" ht="15" hidden="false" customHeight="false" outlineLevel="0" collapsed="false">
      <c r="A933" s="85" t="str">
        <f aca="false">Gov_Map!$H238&amp;""</f>
        <v>—</v>
      </c>
      <c r="B933" s="66" t="s">
        <v>6791</v>
      </c>
      <c r="C933" s="53" t="n">
        <v>238</v>
      </c>
      <c r="D933" s="53" t="s">
        <v>6792</v>
      </c>
      <c r="E933" s="53" t="s">
        <v>6792</v>
      </c>
      <c r="F933" s="54" t="s">
        <v>587</v>
      </c>
    </row>
    <row r="934" customFormat="false" ht="15" hidden="false" customHeight="false" outlineLevel="0" collapsed="false">
      <c r="A934" s="85" t="str">
        <f aca="false">Gov_Map!$H239&amp;""</f>
        <v>—</v>
      </c>
      <c r="B934" s="66" t="s">
        <v>6791</v>
      </c>
      <c r="C934" s="53" t="n">
        <v>239</v>
      </c>
      <c r="D934" s="53" t="s">
        <v>6792</v>
      </c>
      <c r="E934" s="53" t="s">
        <v>6792</v>
      </c>
      <c r="F934" s="54" t="s">
        <v>587</v>
      </c>
    </row>
    <row r="935" customFormat="false" ht="15" hidden="false" customHeight="false" outlineLevel="0" collapsed="false">
      <c r="A935" s="85" t="str">
        <f aca="false">Gov_Map!$H240&amp;""</f>
        <v>—</v>
      </c>
      <c r="B935" s="66" t="s">
        <v>6791</v>
      </c>
      <c r="C935" s="53" t="n">
        <v>240</v>
      </c>
      <c r="D935" s="53" t="s">
        <v>6792</v>
      </c>
      <c r="E935" s="53" t="s">
        <v>6792</v>
      </c>
      <c r="F935" s="54" t="s">
        <v>587</v>
      </c>
    </row>
    <row r="936" customFormat="false" ht="15" hidden="false" customHeight="false" outlineLevel="0" collapsed="false">
      <c r="A936" s="85" t="str">
        <f aca="false">Gov_Map!$H241&amp;""</f>
        <v>—</v>
      </c>
      <c r="B936" s="66" t="s">
        <v>6791</v>
      </c>
      <c r="C936" s="53" t="n">
        <v>241</v>
      </c>
      <c r="D936" s="53" t="s">
        <v>6792</v>
      </c>
      <c r="E936" s="53" t="s">
        <v>6792</v>
      </c>
      <c r="F936" s="54" t="s">
        <v>587</v>
      </c>
    </row>
    <row r="937" customFormat="false" ht="15" hidden="false" customHeight="false" outlineLevel="0" collapsed="false">
      <c r="A937" s="85" t="str">
        <f aca="false">Gov_Map!$H242&amp;""</f>
        <v>—</v>
      </c>
      <c r="B937" s="66" t="s">
        <v>6791</v>
      </c>
      <c r="C937" s="53" t="n">
        <v>242</v>
      </c>
      <c r="D937" s="53" t="s">
        <v>6792</v>
      </c>
      <c r="E937" s="53" t="s">
        <v>6792</v>
      </c>
      <c r="F937" s="54" t="s">
        <v>587</v>
      </c>
    </row>
    <row r="938" customFormat="false" ht="15" hidden="false" customHeight="false" outlineLevel="0" collapsed="false">
      <c r="A938" s="85" t="str">
        <f aca="false">Gov_Map!$H243&amp;""</f>
        <v>SRC_PERF_018</v>
      </c>
      <c r="B938" s="66" t="s">
        <v>6791</v>
      </c>
      <c r="C938" s="53" t="n">
        <v>243</v>
      </c>
      <c r="D938" s="53" t="s">
        <v>6792</v>
      </c>
      <c r="E938" s="53" t="s">
        <v>6792</v>
      </c>
      <c r="F938" s="54" t="s">
        <v>587</v>
      </c>
    </row>
    <row r="939" customFormat="false" ht="15" hidden="false" customHeight="false" outlineLevel="0" collapsed="false">
      <c r="A939" s="85" t="str">
        <f aca="false">Gov_Map!$H244&amp;""</f>
        <v>SRC_PERF_019</v>
      </c>
      <c r="B939" s="66" t="s">
        <v>6791</v>
      </c>
      <c r="C939" s="53" t="n">
        <v>244</v>
      </c>
      <c r="D939" s="53" t="s">
        <v>6792</v>
      </c>
      <c r="E939" s="53" t="s">
        <v>6792</v>
      </c>
      <c r="F939" s="54" t="s">
        <v>587</v>
      </c>
    </row>
    <row r="940" customFormat="false" ht="15" hidden="false" customHeight="false" outlineLevel="0" collapsed="false">
      <c r="A940" s="85" t="str">
        <f aca="false">Gov_Map!$H245&amp;""</f>
        <v>SRC_PERF_020</v>
      </c>
      <c r="B940" s="66" t="s">
        <v>6791</v>
      </c>
      <c r="C940" s="53" t="n">
        <v>245</v>
      </c>
      <c r="D940" s="53" t="s">
        <v>6792</v>
      </c>
      <c r="E940" s="53" t="s">
        <v>6792</v>
      </c>
      <c r="F940" s="54" t="s">
        <v>587</v>
      </c>
    </row>
    <row r="941" customFormat="false" ht="15" hidden="false" customHeight="false" outlineLevel="0" collapsed="false">
      <c r="A941" s="85" t="str">
        <f aca="false">Gov_Map!$H246&amp;""</f>
        <v>—</v>
      </c>
      <c r="B941" s="66" t="s">
        <v>6791</v>
      </c>
      <c r="C941" s="53" t="n">
        <v>246</v>
      </c>
      <c r="D941" s="53" t="s">
        <v>6792</v>
      </c>
      <c r="E941" s="53" t="s">
        <v>6792</v>
      </c>
      <c r="F941" s="54" t="s">
        <v>587</v>
      </c>
    </row>
    <row r="942" customFormat="false" ht="15" hidden="false" customHeight="false" outlineLevel="0" collapsed="false">
      <c r="A942" s="85" t="str">
        <f aca="false">Gov_Map!$H247&amp;""</f>
        <v>—</v>
      </c>
      <c r="B942" s="66" t="s">
        <v>6791</v>
      </c>
      <c r="C942" s="53" t="n">
        <v>247</v>
      </c>
      <c r="D942" s="53" t="s">
        <v>6792</v>
      </c>
      <c r="E942" s="53" t="s">
        <v>6792</v>
      </c>
      <c r="F942" s="54" t="s">
        <v>587</v>
      </c>
    </row>
    <row r="943" customFormat="false" ht="15" hidden="false" customHeight="false" outlineLevel="0" collapsed="false">
      <c r="A943" s="85" t="str">
        <f aca="false">Gov_Map!$H248&amp;""</f>
        <v>—</v>
      </c>
      <c r="B943" s="66" t="s">
        <v>6791</v>
      </c>
      <c r="C943" s="53" t="n">
        <v>248</v>
      </c>
      <c r="D943" s="53" t="s">
        <v>6792</v>
      </c>
      <c r="E943" s="53" t="s">
        <v>6792</v>
      </c>
      <c r="F943" s="54" t="s">
        <v>587</v>
      </c>
    </row>
    <row r="944" customFormat="false" ht="15" hidden="false" customHeight="false" outlineLevel="0" collapsed="false">
      <c r="A944" s="85" t="str">
        <f aca="false">Gov_Map!$H249&amp;""</f>
        <v>—</v>
      </c>
      <c r="B944" s="66" t="s">
        <v>6791</v>
      </c>
      <c r="C944" s="53" t="n">
        <v>249</v>
      </c>
      <c r="D944" s="53" t="s">
        <v>6792</v>
      </c>
      <c r="E944" s="53" t="s">
        <v>6792</v>
      </c>
      <c r="F944" s="54" t="s">
        <v>587</v>
      </c>
    </row>
    <row r="945" customFormat="false" ht="15" hidden="false" customHeight="false" outlineLevel="0" collapsed="false">
      <c r="A945" s="85" t="str">
        <f aca="false">Gov_Map!$H250&amp;""</f>
        <v>—</v>
      </c>
      <c r="B945" s="66" t="s">
        <v>6791</v>
      </c>
      <c r="C945" s="53" t="n">
        <v>250</v>
      </c>
      <c r="D945" s="53" t="s">
        <v>6792</v>
      </c>
      <c r="E945" s="53" t="s">
        <v>6792</v>
      </c>
      <c r="F945" s="54" t="s">
        <v>587</v>
      </c>
    </row>
    <row r="946" customFormat="false" ht="15" hidden="false" customHeight="false" outlineLevel="0" collapsed="false">
      <c r="A946" s="85" t="str">
        <f aca="false">Gov_Map!$H251&amp;""</f>
        <v>—</v>
      </c>
      <c r="B946" s="66" t="s">
        <v>6791</v>
      </c>
      <c r="C946" s="53" t="n">
        <v>251</v>
      </c>
      <c r="D946" s="53" t="s">
        <v>6792</v>
      </c>
      <c r="E946" s="53" t="s">
        <v>6792</v>
      </c>
      <c r="F946" s="54" t="s">
        <v>587</v>
      </c>
    </row>
    <row r="947" customFormat="false" ht="15" hidden="false" customHeight="false" outlineLevel="0" collapsed="false">
      <c r="A947" s="85" t="str">
        <f aca="false">Gov_Map!$H252&amp;""</f>
        <v>—</v>
      </c>
      <c r="B947" s="66" t="s">
        <v>6791</v>
      </c>
      <c r="C947" s="53" t="n">
        <v>252</v>
      </c>
      <c r="D947" s="53" t="s">
        <v>6792</v>
      </c>
      <c r="E947" s="53" t="s">
        <v>6792</v>
      </c>
      <c r="F947" s="54" t="s">
        <v>587</v>
      </c>
    </row>
    <row r="948" customFormat="false" ht="15" hidden="false" customHeight="false" outlineLevel="0" collapsed="false">
      <c r="A948" s="85" t="str">
        <f aca="false">Gov_Map!$H253&amp;""</f>
        <v>—</v>
      </c>
      <c r="B948" s="66" t="s">
        <v>6791</v>
      </c>
      <c r="C948" s="53" t="n">
        <v>253</v>
      </c>
      <c r="D948" s="53" t="s">
        <v>6792</v>
      </c>
      <c r="E948" s="53" t="s">
        <v>6792</v>
      </c>
      <c r="F948" s="54" t="s">
        <v>587</v>
      </c>
    </row>
    <row r="949" customFormat="false" ht="15" hidden="false" customHeight="false" outlineLevel="0" collapsed="false">
      <c r="A949" s="85" t="str">
        <f aca="false">Gov_Map!$H254&amp;""</f>
        <v>—</v>
      </c>
      <c r="B949" s="66" t="s">
        <v>6791</v>
      </c>
      <c r="C949" s="53" t="n">
        <v>254</v>
      </c>
      <c r="D949" s="53" t="s">
        <v>6792</v>
      </c>
      <c r="E949" s="53" t="s">
        <v>6792</v>
      </c>
      <c r="F949" s="54" t="s">
        <v>587</v>
      </c>
    </row>
    <row r="950" customFormat="false" ht="15" hidden="false" customHeight="false" outlineLevel="0" collapsed="false">
      <c r="A950" s="85" t="str">
        <f aca="false">Gov_Map!$H255&amp;""</f>
        <v>—</v>
      </c>
      <c r="B950" s="66" t="s">
        <v>6791</v>
      </c>
      <c r="C950" s="53" t="n">
        <v>255</v>
      </c>
      <c r="D950" s="53" t="s">
        <v>6792</v>
      </c>
      <c r="E950" s="53" t="s">
        <v>6792</v>
      </c>
      <c r="F950" s="54" t="s">
        <v>587</v>
      </c>
    </row>
    <row r="951" customFormat="false" ht="15" hidden="false" customHeight="false" outlineLevel="0" collapsed="false">
      <c r="A951" s="85" t="str">
        <f aca="false">Gov_Map!$H256&amp;""</f>
        <v>—</v>
      </c>
      <c r="B951" s="66" t="s">
        <v>6791</v>
      </c>
      <c r="C951" s="53" t="n">
        <v>256</v>
      </c>
      <c r="D951" s="53" t="s">
        <v>6792</v>
      </c>
      <c r="E951" s="53" t="s">
        <v>6792</v>
      </c>
      <c r="F951" s="54" t="s">
        <v>587</v>
      </c>
    </row>
    <row r="952" customFormat="false" ht="15" hidden="false" customHeight="false" outlineLevel="0" collapsed="false">
      <c r="A952" s="85" t="str">
        <f aca="false">Gov_Map!$H257&amp;""</f>
        <v>—</v>
      </c>
      <c r="B952" s="66" t="s">
        <v>6791</v>
      </c>
      <c r="C952" s="53" t="n">
        <v>257</v>
      </c>
      <c r="D952" s="53" t="s">
        <v>6792</v>
      </c>
      <c r="E952" s="53" t="s">
        <v>6792</v>
      </c>
      <c r="F952" s="54" t="s">
        <v>587</v>
      </c>
    </row>
    <row r="953" customFormat="false" ht="15" hidden="false" customHeight="false" outlineLevel="0" collapsed="false">
      <c r="A953" s="85" t="str">
        <f aca="false">Gov_Map!$H258&amp;""</f>
        <v>—</v>
      </c>
      <c r="B953" s="66" t="s">
        <v>6791</v>
      </c>
      <c r="C953" s="53" t="n">
        <v>258</v>
      </c>
      <c r="D953" s="53" t="s">
        <v>6792</v>
      </c>
      <c r="E953" s="53" t="s">
        <v>6792</v>
      </c>
      <c r="F953" s="54" t="s">
        <v>587</v>
      </c>
    </row>
    <row r="954" customFormat="false" ht="15" hidden="false" customHeight="false" outlineLevel="0" collapsed="false">
      <c r="A954" s="85" t="str">
        <f aca="false">Gov_Map!$H259&amp;""</f>
        <v>—</v>
      </c>
      <c r="B954" s="66" t="s">
        <v>6791</v>
      </c>
      <c r="C954" s="53" t="n">
        <v>259</v>
      </c>
      <c r="D954" s="53" t="s">
        <v>6792</v>
      </c>
      <c r="E954" s="53" t="s">
        <v>6792</v>
      </c>
      <c r="F954" s="54" t="s">
        <v>587</v>
      </c>
    </row>
    <row r="955" customFormat="false" ht="15" hidden="false" customHeight="false" outlineLevel="0" collapsed="false">
      <c r="A955" s="85" t="str">
        <f aca="false">Gov_Map!$H260&amp;""</f>
        <v>—</v>
      </c>
      <c r="B955" s="66" t="s">
        <v>6791</v>
      </c>
      <c r="C955" s="53" t="n">
        <v>260</v>
      </c>
      <c r="D955" s="53" t="s">
        <v>6792</v>
      </c>
      <c r="E955" s="53" t="s">
        <v>6792</v>
      </c>
      <c r="F955" s="54" t="s">
        <v>587</v>
      </c>
    </row>
    <row r="956" customFormat="false" ht="15" hidden="false" customHeight="false" outlineLevel="0" collapsed="false">
      <c r="A956" s="85" t="str">
        <f aca="false">Gov_Map!$H261&amp;""</f>
        <v>—</v>
      </c>
      <c r="B956" s="66" t="s">
        <v>6791</v>
      </c>
      <c r="C956" s="53" t="n">
        <v>261</v>
      </c>
      <c r="D956" s="53" t="s">
        <v>6792</v>
      </c>
      <c r="E956" s="53" t="s">
        <v>6792</v>
      </c>
      <c r="F956" s="54" t="s">
        <v>587</v>
      </c>
    </row>
    <row r="957" customFormat="false" ht="15" hidden="false" customHeight="false" outlineLevel="0" collapsed="false">
      <c r="A957" s="85" t="str">
        <f aca="false">Gov_Map!$H262&amp;""</f>
        <v>—</v>
      </c>
      <c r="B957" s="66" t="s">
        <v>6791</v>
      </c>
      <c r="C957" s="53" t="n">
        <v>262</v>
      </c>
      <c r="D957" s="53" t="s">
        <v>6792</v>
      </c>
      <c r="E957" s="53" t="s">
        <v>6792</v>
      </c>
      <c r="F957" s="54" t="s">
        <v>587</v>
      </c>
    </row>
    <row r="958" customFormat="false" ht="15" hidden="false" customHeight="false" outlineLevel="0" collapsed="false">
      <c r="A958" s="85" t="str">
        <f aca="false">Gov_Map!$H263&amp;""</f>
        <v>—</v>
      </c>
      <c r="B958" s="66" t="s">
        <v>6791</v>
      </c>
      <c r="C958" s="53" t="n">
        <v>263</v>
      </c>
      <c r="D958" s="53" t="s">
        <v>6792</v>
      </c>
      <c r="E958" s="53" t="s">
        <v>6792</v>
      </c>
      <c r="F958" s="54" t="s">
        <v>587</v>
      </c>
    </row>
    <row r="959" customFormat="false" ht="15" hidden="false" customHeight="false" outlineLevel="0" collapsed="false">
      <c r="A959" s="85" t="str">
        <f aca="false">Gov_Map!$H264&amp;""</f>
        <v>—</v>
      </c>
      <c r="B959" s="66" t="s">
        <v>6791</v>
      </c>
      <c r="C959" s="53" t="n">
        <v>264</v>
      </c>
      <c r="D959" s="53" t="s">
        <v>6792</v>
      </c>
      <c r="E959" s="53" t="s">
        <v>6792</v>
      </c>
      <c r="F959" s="54" t="s">
        <v>587</v>
      </c>
    </row>
    <row r="960" customFormat="false" ht="15" hidden="false" customHeight="false" outlineLevel="0" collapsed="false">
      <c r="A960" s="85" t="str">
        <f aca="false">Gov_Map!$H265&amp;""</f>
        <v>—</v>
      </c>
      <c r="B960" s="66" t="s">
        <v>6791</v>
      </c>
      <c r="C960" s="53" t="n">
        <v>265</v>
      </c>
      <c r="D960" s="53" t="s">
        <v>6792</v>
      </c>
      <c r="E960" s="53" t="s">
        <v>6792</v>
      </c>
      <c r="F960" s="54" t="s">
        <v>587</v>
      </c>
    </row>
    <row r="961" customFormat="false" ht="15" hidden="false" customHeight="false" outlineLevel="0" collapsed="false">
      <c r="A961" s="85" t="str">
        <f aca="false">Gov_Map!$H266&amp;""</f>
        <v>—</v>
      </c>
      <c r="B961" s="66" t="s">
        <v>6791</v>
      </c>
      <c r="C961" s="53" t="n">
        <v>266</v>
      </c>
      <c r="D961" s="53" t="s">
        <v>6792</v>
      </c>
      <c r="E961" s="53" t="s">
        <v>6792</v>
      </c>
      <c r="F961" s="54" t="s">
        <v>587</v>
      </c>
    </row>
    <row r="962" customFormat="false" ht="15" hidden="false" customHeight="false" outlineLevel="0" collapsed="false">
      <c r="A962" s="85" t="str">
        <f aca="false">Gov_Map!$H267&amp;""</f>
        <v>—</v>
      </c>
      <c r="B962" s="66" t="s">
        <v>6791</v>
      </c>
      <c r="C962" s="53" t="n">
        <v>267</v>
      </c>
      <c r="D962" s="53" t="s">
        <v>6792</v>
      </c>
      <c r="E962" s="53" t="s">
        <v>6792</v>
      </c>
      <c r="F962" s="54" t="s">
        <v>587</v>
      </c>
    </row>
    <row r="963" customFormat="false" ht="15" hidden="false" customHeight="false" outlineLevel="0" collapsed="false">
      <c r="A963" s="85" t="str">
        <f aca="false">Gov_Map!$H268&amp;""</f>
        <v>—</v>
      </c>
      <c r="B963" s="66" t="s">
        <v>6791</v>
      </c>
      <c r="C963" s="53" t="n">
        <v>268</v>
      </c>
      <c r="D963" s="53" t="s">
        <v>6792</v>
      </c>
      <c r="E963" s="53" t="s">
        <v>6792</v>
      </c>
      <c r="F963" s="54" t="s">
        <v>587</v>
      </c>
    </row>
    <row r="964" customFormat="false" ht="15" hidden="false" customHeight="false" outlineLevel="0" collapsed="false">
      <c r="A964" s="85" t="str">
        <f aca="false">Gov_Map!$H269&amp;""</f>
        <v>—</v>
      </c>
      <c r="B964" s="66" t="s">
        <v>6791</v>
      </c>
      <c r="C964" s="53" t="n">
        <v>269</v>
      </c>
      <c r="D964" s="53" t="s">
        <v>6792</v>
      </c>
      <c r="E964" s="53" t="s">
        <v>6792</v>
      </c>
      <c r="F964" s="54" t="s">
        <v>587</v>
      </c>
    </row>
    <row r="965" customFormat="false" ht="15" hidden="false" customHeight="false" outlineLevel="0" collapsed="false">
      <c r="A965" s="85" t="str">
        <f aca="false">Gov_Map!$H270&amp;""</f>
        <v>—</v>
      </c>
      <c r="B965" s="66" t="s">
        <v>6791</v>
      </c>
      <c r="C965" s="53" t="n">
        <v>270</v>
      </c>
      <c r="D965" s="53" t="s">
        <v>6792</v>
      </c>
      <c r="E965" s="53" t="s">
        <v>6792</v>
      </c>
      <c r="F965" s="54" t="s">
        <v>587</v>
      </c>
    </row>
    <row r="966" customFormat="false" ht="15" hidden="false" customHeight="false" outlineLevel="0" collapsed="false">
      <c r="A966" s="85" t="str">
        <f aca="false">Gov_Map!$H271&amp;""</f>
        <v>—</v>
      </c>
      <c r="B966" s="66" t="s">
        <v>6791</v>
      </c>
      <c r="C966" s="53" t="n">
        <v>271</v>
      </c>
      <c r="D966" s="53" t="s">
        <v>6792</v>
      </c>
      <c r="E966" s="53" t="s">
        <v>6792</v>
      </c>
      <c r="F966" s="54" t="s">
        <v>587</v>
      </c>
    </row>
    <row r="967" customFormat="false" ht="15" hidden="false" customHeight="false" outlineLevel="0" collapsed="false">
      <c r="A967" s="85" t="str">
        <f aca="false">Gov_Map!$H272&amp;""</f>
        <v>—</v>
      </c>
      <c r="B967" s="66" t="s">
        <v>6791</v>
      </c>
      <c r="C967" s="53" t="n">
        <v>272</v>
      </c>
      <c r="D967" s="53" t="s">
        <v>6792</v>
      </c>
      <c r="E967" s="53" t="s">
        <v>6792</v>
      </c>
      <c r="F967" s="54" t="s">
        <v>587</v>
      </c>
    </row>
    <row r="968" customFormat="false" ht="15" hidden="false" customHeight="false" outlineLevel="0" collapsed="false">
      <c r="A968" s="85" t="str">
        <f aca="false">Gov_Map!$H273&amp;""</f>
        <v>—</v>
      </c>
      <c r="B968" s="66" t="s">
        <v>6791</v>
      </c>
      <c r="C968" s="53" t="n">
        <v>273</v>
      </c>
      <c r="D968" s="53" t="s">
        <v>6792</v>
      </c>
      <c r="E968" s="53" t="s">
        <v>6792</v>
      </c>
      <c r="F968" s="54" t="s">
        <v>587</v>
      </c>
    </row>
    <row r="969" customFormat="false" ht="15" hidden="false" customHeight="false" outlineLevel="0" collapsed="false">
      <c r="A969" s="85" t="str">
        <f aca="false">Gov_Map!$H274&amp;""</f>
        <v>—</v>
      </c>
      <c r="B969" s="66" t="s">
        <v>6791</v>
      </c>
      <c r="C969" s="53" t="n">
        <v>274</v>
      </c>
      <c r="D969" s="53" t="s">
        <v>6792</v>
      </c>
      <c r="E969" s="53" t="s">
        <v>6792</v>
      </c>
      <c r="F969" s="54" t="s">
        <v>587</v>
      </c>
    </row>
    <row r="970" customFormat="false" ht="15" hidden="false" customHeight="false" outlineLevel="0" collapsed="false">
      <c r="A970" s="85" t="str">
        <f aca="false">Gov_Map!$H275&amp;""</f>
        <v>—</v>
      </c>
      <c r="B970" s="66" t="s">
        <v>6791</v>
      </c>
      <c r="C970" s="53" t="n">
        <v>275</v>
      </c>
      <c r="D970" s="53" t="s">
        <v>6792</v>
      </c>
      <c r="E970" s="53" t="s">
        <v>6792</v>
      </c>
      <c r="F970" s="54" t="s">
        <v>587</v>
      </c>
    </row>
    <row r="971" customFormat="false" ht="15" hidden="false" customHeight="false" outlineLevel="0" collapsed="false">
      <c r="A971" s="85" t="str">
        <f aca="false">Gov_Map!$H276&amp;""</f>
        <v>—</v>
      </c>
      <c r="B971" s="66" t="s">
        <v>6791</v>
      </c>
      <c r="C971" s="53" t="n">
        <v>276</v>
      </c>
      <c r="D971" s="53" t="s">
        <v>6792</v>
      </c>
      <c r="E971" s="53" t="s">
        <v>6792</v>
      </c>
      <c r="F971" s="54" t="s">
        <v>587</v>
      </c>
    </row>
    <row r="972" customFormat="false" ht="15" hidden="false" customHeight="false" outlineLevel="0" collapsed="false">
      <c r="A972" s="85" t="str">
        <f aca="false">Gov_Map!$H277&amp;""</f>
        <v>—</v>
      </c>
      <c r="B972" s="66" t="s">
        <v>6791</v>
      </c>
      <c r="C972" s="53" t="n">
        <v>277</v>
      </c>
      <c r="D972" s="53" t="s">
        <v>6792</v>
      </c>
      <c r="E972" s="53" t="s">
        <v>6792</v>
      </c>
      <c r="F972" s="54" t="s">
        <v>587</v>
      </c>
    </row>
    <row r="973" customFormat="false" ht="15" hidden="false" customHeight="false" outlineLevel="0" collapsed="false">
      <c r="A973" s="85" t="str">
        <f aca="false">Gov_Map!$H278&amp;""</f>
        <v>—</v>
      </c>
      <c r="B973" s="66" t="s">
        <v>6791</v>
      </c>
      <c r="C973" s="53" t="n">
        <v>278</v>
      </c>
      <c r="D973" s="53" t="s">
        <v>6792</v>
      </c>
      <c r="E973" s="53" t="s">
        <v>6792</v>
      </c>
      <c r="F973" s="54" t="s">
        <v>587</v>
      </c>
    </row>
    <row r="974" customFormat="false" ht="15" hidden="false" customHeight="false" outlineLevel="0" collapsed="false">
      <c r="A974" s="85" t="str">
        <f aca="false">Gov_Map!$H279&amp;""</f>
        <v>—</v>
      </c>
      <c r="B974" s="66" t="s">
        <v>6791</v>
      </c>
      <c r="C974" s="53" t="n">
        <v>279</v>
      </c>
      <c r="D974" s="53" t="s">
        <v>6792</v>
      </c>
      <c r="E974" s="53" t="s">
        <v>6792</v>
      </c>
      <c r="F974" s="54" t="s">
        <v>587</v>
      </c>
    </row>
    <row r="975" customFormat="false" ht="15" hidden="false" customHeight="false" outlineLevel="0" collapsed="false">
      <c r="A975" s="85" t="str">
        <f aca="false">Gov_Map!$H280&amp;""</f>
        <v>—</v>
      </c>
      <c r="B975" s="66" t="s">
        <v>6791</v>
      </c>
      <c r="C975" s="53" t="n">
        <v>280</v>
      </c>
      <c r="D975" s="53" t="s">
        <v>6792</v>
      </c>
      <c r="E975" s="53" t="s">
        <v>6792</v>
      </c>
      <c r="F975" s="54" t="s">
        <v>587</v>
      </c>
    </row>
    <row r="976" customFormat="false" ht="15" hidden="false" customHeight="false" outlineLevel="0" collapsed="false">
      <c r="A976" s="85" t="str">
        <f aca="false">Gov_Map!$H281&amp;""</f>
        <v>—</v>
      </c>
      <c r="B976" s="66" t="s">
        <v>6791</v>
      </c>
      <c r="C976" s="53" t="n">
        <v>281</v>
      </c>
      <c r="D976" s="53" t="s">
        <v>6792</v>
      </c>
      <c r="E976" s="53" t="s">
        <v>6792</v>
      </c>
      <c r="F976" s="54" t="s">
        <v>587</v>
      </c>
    </row>
    <row r="977" customFormat="false" ht="15" hidden="false" customHeight="false" outlineLevel="0" collapsed="false">
      <c r="A977" s="85" t="str">
        <f aca="false">Gov_Map!$H282&amp;""</f>
        <v>—</v>
      </c>
      <c r="B977" s="66" t="s">
        <v>6791</v>
      </c>
      <c r="C977" s="53" t="n">
        <v>282</v>
      </c>
      <c r="D977" s="53" t="s">
        <v>6792</v>
      </c>
      <c r="E977" s="53" t="s">
        <v>6792</v>
      </c>
      <c r="F977" s="54" t="s">
        <v>587</v>
      </c>
    </row>
    <row r="978" customFormat="false" ht="15" hidden="false" customHeight="false" outlineLevel="0" collapsed="false">
      <c r="A978" s="85" t="str">
        <f aca="false">Gov_Map!$H283&amp;""</f>
        <v>—</v>
      </c>
      <c r="B978" s="66" t="s">
        <v>6791</v>
      </c>
      <c r="C978" s="53" t="n">
        <v>283</v>
      </c>
      <c r="D978" s="53" t="s">
        <v>6792</v>
      </c>
      <c r="E978" s="53" t="s">
        <v>6792</v>
      </c>
      <c r="F978" s="54" t="s">
        <v>587</v>
      </c>
    </row>
    <row r="979" customFormat="false" ht="15" hidden="false" customHeight="false" outlineLevel="0" collapsed="false">
      <c r="A979" s="85" t="str">
        <f aca="false">Gov_Map!$H284&amp;""</f>
        <v>—</v>
      </c>
      <c r="B979" s="66" t="s">
        <v>6791</v>
      </c>
      <c r="C979" s="53" t="n">
        <v>284</v>
      </c>
      <c r="D979" s="53" t="s">
        <v>6792</v>
      </c>
      <c r="E979" s="53" t="s">
        <v>6792</v>
      </c>
      <c r="F979" s="54" t="s">
        <v>587</v>
      </c>
    </row>
    <row r="980" customFormat="false" ht="15" hidden="false" customHeight="false" outlineLevel="0" collapsed="false">
      <c r="A980" s="85" t="str">
        <f aca="false">Gov_Map!$H285&amp;""</f>
        <v>—</v>
      </c>
      <c r="B980" s="66" t="s">
        <v>6791</v>
      </c>
      <c r="C980" s="53" t="n">
        <v>285</v>
      </c>
      <c r="D980" s="53" t="s">
        <v>6792</v>
      </c>
      <c r="E980" s="53" t="s">
        <v>6792</v>
      </c>
      <c r="F980" s="54" t="s">
        <v>587</v>
      </c>
    </row>
    <row r="981" customFormat="false" ht="15" hidden="false" customHeight="false" outlineLevel="0" collapsed="false">
      <c r="A981" s="85" t="str">
        <f aca="false">Gov_Map!$H286&amp;""</f>
        <v>—</v>
      </c>
      <c r="B981" s="66" t="s">
        <v>6791</v>
      </c>
      <c r="C981" s="53" t="n">
        <v>286</v>
      </c>
      <c r="D981" s="53" t="s">
        <v>6792</v>
      </c>
      <c r="E981" s="53" t="s">
        <v>6792</v>
      </c>
      <c r="F981" s="54" t="s">
        <v>587</v>
      </c>
    </row>
    <row r="982" customFormat="false" ht="15" hidden="false" customHeight="false" outlineLevel="0" collapsed="false">
      <c r="A982" s="85" t="str">
        <f aca="false">Gov_Map!$H287&amp;""</f>
        <v>—</v>
      </c>
      <c r="B982" s="66" t="s">
        <v>6791</v>
      </c>
      <c r="C982" s="53" t="n">
        <v>287</v>
      </c>
      <c r="D982" s="53" t="s">
        <v>6792</v>
      </c>
      <c r="E982" s="53" t="s">
        <v>6792</v>
      </c>
      <c r="F982" s="54" t="s">
        <v>587</v>
      </c>
    </row>
    <row r="983" customFormat="false" ht="15" hidden="false" customHeight="false" outlineLevel="0" collapsed="false">
      <c r="A983" s="85" t="str">
        <f aca="false">Gov_Map!$H288&amp;""</f>
        <v>—</v>
      </c>
      <c r="B983" s="66" t="s">
        <v>6791</v>
      </c>
      <c r="C983" s="53" t="n">
        <v>288</v>
      </c>
      <c r="D983" s="53" t="s">
        <v>6792</v>
      </c>
      <c r="E983" s="53" t="s">
        <v>6792</v>
      </c>
      <c r="F983" s="54" t="s">
        <v>587</v>
      </c>
    </row>
    <row r="984" customFormat="false" ht="15" hidden="false" customHeight="false" outlineLevel="0" collapsed="false">
      <c r="A984" s="85" t="str">
        <f aca="false">Gov_Map!$H289&amp;""</f>
        <v>—</v>
      </c>
      <c r="B984" s="66" t="s">
        <v>6791</v>
      </c>
      <c r="C984" s="53" t="n">
        <v>289</v>
      </c>
      <c r="D984" s="53" t="s">
        <v>6792</v>
      </c>
      <c r="E984" s="53" t="s">
        <v>6792</v>
      </c>
      <c r="F984" s="54" t="s">
        <v>587</v>
      </c>
    </row>
    <row r="985" customFormat="false" ht="15" hidden="false" customHeight="false" outlineLevel="0" collapsed="false">
      <c r="A985" s="85" t="str">
        <f aca="false">Gov_Map!$H290&amp;""</f>
        <v>—</v>
      </c>
      <c r="B985" s="66" t="s">
        <v>6791</v>
      </c>
      <c r="C985" s="53" t="n">
        <v>290</v>
      </c>
      <c r="D985" s="53" t="s">
        <v>6792</v>
      </c>
      <c r="E985" s="53" t="s">
        <v>6792</v>
      </c>
      <c r="F985" s="54" t="s">
        <v>587</v>
      </c>
    </row>
    <row r="986" customFormat="false" ht="15" hidden="false" customHeight="false" outlineLevel="0" collapsed="false">
      <c r="A986" s="85" t="str">
        <f aca="false">Gov_Map!$H291&amp;""</f>
        <v>—</v>
      </c>
      <c r="B986" s="66" t="s">
        <v>6791</v>
      </c>
      <c r="C986" s="53" t="n">
        <v>291</v>
      </c>
      <c r="D986" s="53" t="s">
        <v>6792</v>
      </c>
      <c r="E986" s="53" t="s">
        <v>6792</v>
      </c>
      <c r="F986" s="54" t="s">
        <v>587</v>
      </c>
    </row>
    <row r="987" customFormat="false" ht="15" hidden="false" customHeight="false" outlineLevel="0" collapsed="false">
      <c r="A987" s="85" t="str">
        <f aca="false">Gov_Map!$H292&amp;""</f>
        <v>—</v>
      </c>
      <c r="B987" s="66" t="s">
        <v>6791</v>
      </c>
      <c r="C987" s="53" t="n">
        <v>292</v>
      </c>
      <c r="D987" s="53" t="s">
        <v>6792</v>
      </c>
      <c r="E987" s="53" t="s">
        <v>6792</v>
      </c>
      <c r="F987" s="54" t="s">
        <v>587</v>
      </c>
    </row>
    <row r="988" customFormat="false" ht="15" hidden="false" customHeight="false" outlineLevel="0" collapsed="false">
      <c r="A988" s="85" t="str">
        <f aca="false">Gov_Map!$H293&amp;""</f>
        <v>—</v>
      </c>
      <c r="B988" s="66" t="s">
        <v>6791</v>
      </c>
      <c r="C988" s="53" t="n">
        <v>293</v>
      </c>
      <c r="D988" s="53" t="s">
        <v>6792</v>
      </c>
      <c r="E988" s="53" t="s">
        <v>6792</v>
      </c>
      <c r="F988" s="54" t="s">
        <v>587</v>
      </c>
    </row>
    <row r="989" customFormat="false" ht="15" hidden="false" customHeight="false" outlineLevel="0" collapsed="false">
      <c r="A989" s="85" t="str">
        <f aca="false">Gov_Map!$H294&amp;""</f>
        <v>—</v>
      </c>
      <c r="B989" s="66" t="s">
        <v>6791</v>
      </c>
      <c r="C989" s="53" t="n">
        <v>294</v>
      </c>
      <c r="D989" s="53" t="s">
        <v>6792</v>
      </c>
      <c r="E989" s="53" t="s">
        <v>6792</v>
      </c>
      <c r="F989" s="54" t="s">
        <v>587</v>
      </c>
    </row>
    <row r="990" customFormat="false" ht="15" hidden="false" customHeight="false" outlineLevel="0" collapsed="false">
      <c r="A990" s="85" t="str">
        <f aca="false">Gov_Map!$H295&amp;""</f>
        <v>—</v>
      </c>
      <c r="B990" s="66" t="s">
        <v>6791</v>
      </c>
      <c r="C990" s="53" t="n">
        <v>295</v>
      </c>
      <c r="D990" s="53" t="s">
        <v>6792</v>
      </c>
      <c r="E990" s="53" t="s">
        <v>6792</v>
      </c>
      <c r="F990" s="54" t="s">
        <v>587</v>
      </c>
    </row>
    <row r="991" customFormat="false" ht="15" hidden="false" customHeight="false" outlineLevel="0" collapsed="false">
      <c r="A991" s="85" t="str">
        <f aca="false">Gov_Map!$H296&amp;""</f>
        <v>—</v>
      </c>
      <c r="B991" s="66" t="s">
        <v>6791</v>
      </c>
      <c r="C991" s="53" t="n">
        <v>296</v>
      </c>
      <c r="D991" s="53" t="s">
        <v>6792</v>
      </c>
      <c r="E991" s="53" t="s">
        <v>6792</v>
      </c>
      <c r="F991" s="54" t="s">
        <v>587</v>
      </c>
    </row>
    <row r="992" customFormat="false" ht="15" hidden="false" customHeight="false" outlineLevel="0" collapsed="false">
      <c r="A992" s="85" t="str">
        <f aca="false">Gov_Map!$H297&amp;""</f>
        <v>—</v>
      </c>
      <c r="B992" s="66" t="s">
        <v>6791</v>
      </c>
      <c r="C992" s="53" t="n">
        <v>297</v>
      </c>
      <c r="D992" s="53" t="s">
        <v>6792</v>
      </c>
      <c r="E992" s="53" t="s">
        <v>6792</v>
      </c>
      <c r="F992" s="54" t="s">
        <v>587</v>
      </c>
    </row>
    <row r="993" customFormat="false" ht="15" hidden="false" customHeight="false" outlineLevel="0" collapsed="false">
      <c r="A993" s="85" t="str">
        <f aca="false">Gov_Map!$H298&amp;""</f>
        <v>—</v>
      </c>
      <c r="B993" s="66" t="s">
        <v>6791</v>
      </c>
      <c r="C993" s="53" t="n">
        <v>298</v>
      </c>
      <c r="D993" s="53" t="s">
        <v>6792</v>
      </c>
      <c r="E993" s="53" t="s">
        <v>6792</v>
      </c>
      <c r="F993" s="54" t="s">
        <v>587</v>
      </c>
    </row>
    <row r="994" customFormat="false" ht="15" hidden="false" customHeight="false" outlineLevel="0" collapsed="false">
      <c r="A994" s="85" t="str">
        <f aca="false">Gov_Map!$H299&amp;""</f>
        <v>—</v>
      </c>
      <c r="B994" s="66" t="s">
        <v>6791</v>
      </c>
      <c r="C994" s="53" t="n">
        <v>299</v>
      </c>
      <c r="D994" s="53" t="s">
        <v>6792</v>
      </c>
      <c r="E994" s="53" t="s">
        <v>6792</v>
      </c>
      <c r="F994" s="54" t="s">
        <v>587</v>
      </c>
    </row>
    <row r="995" customFormat="false" ht="15" hidden="false" customHeight="false" outlineLevel="0" collapsed="false">
      <c r="A995" s="85" t="str">
        <f aca="false">Gov_Map!$H300&amp;""</f>
        <v>—</v>
      </c>
      <c r="B995" s="66" t="s">
        <v>6791</v>
      </c>
      <c r="C995" s="53" t="n">
        <v>300</v>
      </c>
      <c r="D995" s="53" t="s">
        <v>6792</v>
      </c>
      <c r="E995" s="53" t="s">
        <v>6792</v>
      </c>
      <c r="F995" s="54" t="s">
        <v>587</v>
      </c>
    </row>
    <row r="996" customFormat="false" ht="15" hidden="false" customHeight="false" outlineLevel="0" collapsed="false">
      <c r="A996" s="85" t="str">
        <f aca="false">Gov_Map!$H301&amp;""</f>
        <v>—</v>
      </c>
      <c r="B996" s="66" t="s">
        <v>6791</v>
      </c>
      <c r="C996" s="53" t="n">
        <v>301</v>
      </c>
      <c r="D996" s="53" t="s">
        <v>6792</v>
      </c>
      <c r="E996" s="53" t="s">
        <v>6792</v>
      </c>
      <c r="F996" s="54" t="s">
        <v>587</v>
      </c>
    </row>
    <row r="997" customFormat="false" ht="15" hidden="false" customHeight="false" outlineLevel="0" collapsed="false">
      <c r="A997" s="85" t="str">
        <f aca="false">Gov_Map!$H302&amp;""</f>
        <v>—</v>
      </c>
      <c r="B997" s="66" t="s">
        <v>6791</v>
      </c>
      <c r="C997" s="53" t="n">
        <v>302</v>
      </c>
      <c r="D997" s="53" t="s">
        <v>6792</v>
      </c>
      <c r="E997" s="53" t="s">
        <v>6792</v>
      </c>
      <c r="F997" s="54" t="s">
        <v>587</v>
      </c>
    </row>
    <row r="998" customFormat="false" ht="15" hidden="false" customHeight="false" outlineLevel="0" collapsed="false">
      <c r="A998" s="85" t="str">
        <f aca="false">Gov_Map!$H303&amp;""</f>
        <v>—</v>
      </c>
      <c r="B998" s="66" t="s">
        <v>6791</v>
      </c>
      <c r="C998" s="53" t="n">
        <v>303</v>
      </c>
      <c r="D998" s="53" t="s">
        <v>6792</v>
      </c>
      <c r="E998" s="53" t="s">
        <v>6792</v>
      </c>
      <c r="F998" s="54" t="s">
        <v>587</v>
      </c>
    </row>
    <row r="999" customFormat="false" ht="15" hidden="false" customHeight="false" outlineLevel="0" collapsed="false">
      <c r="A999" s="85" t="str">
        <f aca="false">Gov_Map!$H304&amp;""</f>
        <v>—</v>
      </c>
      <c r="B999" s="66" t="s">
        <v>6791</v>
      </c>
      <c r="C999" s="53" t="n">
        <v>304</v>
      </c>
      <c r="D999" s="53" t="s">
        <v>6792</v>
      </c>
      <c r="E999" s="53" t="s">
        <v>6792</v>
      </c>
      <c r="F999" s="54" t="s">
        <v>587</v>
      </c>
    </row>
    <row r="1000" customFormat="false" ht="15" hidden="false" customHeight="false" outlineLevel="0" collapsed="false">
      <c r="A1000" s="85" t="str">
        <f aca="false">Gov_Map!$H305&amp;""</f>
        <v>—</v>
      </c>
      <c r="B1000" s="66" t="s">
        <v>6791</v>
      </c>
      <c r="C1000" s="53" t="n">
        <v>305</v>
      </c>
      <c r="D1000" s="53" t="s">
        <v>6792</v>
      </c>
      <c r="E1000" s="53" t="s">
        <v>6792</v>
      </c>
      <c r="F1000" s="54" t="s">
        <v>587</v>
      </c>
    </row>
    <row r="1001" customFormat="false" ht="15" hidden="false" customHeight="false" outlineLevel="0" collapsed="false">
      <c r="A1001" s="85" t="str">
        <f aca="false">Gov_Map!$H306&amp;""</f>
        <v>SRC_HAR_001</v>
      </c>
      <c r="B1001" s="66" t="s">
        <v>6791</v>
      </c>
      <c r="C1001" s="53" t="n">
        <v>306</v>
      </c>
      <c r="D1001" s="53" t="s">
        <v>6792</v>
      </c>
      <c r="E1001" s="53" t="s">
        <v>6792</v>
      </c>
      <c r="F1001" s="54" t="s">
        <v>587</v>
      </c>
    </row>
    <row r="1002" customFormat="false" ht="15" hidden="false" customHeight="false" outlineLevel="0" collapsed="false">
      <c r="A1002" s="85" t="str">
        <f aca="false">Gov_Map!$H307&amp;""</f>
        <v>SRC_HAR_002</v>
      </c>
      <c r="B1002" s="66" t="s">
        <v>6791</v>
      </c>
      <c r="C1002" s="53" t="n">
        <v>307</v>
      </c>
      <c r="D1002" s="53" t="s">
        <v>6792</v>
      </c>
      <c r="E1002" s="53" t="s">
        <v>6792</v>
      </c>
      <c r="F1002" s="54" t="s">
        <v>587</v>
      </c>
    </row>
    <row r="1003" customFormat="false" ht="15" hidden="false" customHeight="false" outlineLevel="0" collapsed="false">
      <c r="A1003" s="85" t="str">
        <f aca="false">Gov_Map!$H308&amp;""</f>
        <v>SRC_PERF_041</v>
      </c>
      <c r="B1003" s="66" t="s">
        <v>6791</v>
      </c>
      <c r="C1003" s="53" t="n">
        <v>308</v>
      </c>
      <c r="D1003" s="53" t="s">
        <v>6792</v>
      </c>
      <c r="E1003" s="53" t="s">
        <v>6792</v>
      </c>
      <c r="F1003" s="54" t="s">
        <v>587</v>
      </c>
    </row>
    <row r="1004" customFormat="false" ht="15" hidden="false" customHeight="false" outlineLevel="0" collapsed="false">
      <c r="A1004" s="85" t="str">
        <f aca="false">Gov_Map!$H309&amp;""</f>
        <v>—</v>
      </c>
      <c r="B1004" s="66" t="s">
        <v>6791</v>
      </c>
      <c r="C1004" s="53" t="n">
        <v>309</v>
      </c>
      <c r="D1004" s="53" t="s">
        <v>6792</v>
      </c>
      <c r="E1004" s="53" t="s">
        <v>6792</v>
      </c>
      <c r="F1004" s="54" t="s">
        <v>587</v>
      </c>
    </row>
    <row r="1005" customFormat="false" ht="15" hidden="false" customHeight="false" outlineLevel="0" collapsed="false">
      <c r="A1005" s="85" t="str">
        <f aca="false">Gov_Map!$H310&amp;""</f>
        <v>SRC_PERF_009</v>
      </c>
      <c r="B1005" s="66" t="s">
        <v>6791</v>
      </c>
      <c r="C1005" s="53" t="n">
        <v>310</v>
      </c>
      <c r="D1005" s="53" t="s">
        <v>6792</v>
      </c>
      <c r="E1005" s="53" t="s">
        <v>6792</v>
      </c>
      <c r="F1005" s="54" t="s">
        <v>587</v>
      </c>
    </row>
    <row r="1006" customFormat="false" ht="15" hidden="false" customHeight="false" outlineLevel="0" collapsed="false">
      <c r="A1006" s="85" t="str">
        <f aca="false">Gov_Map!$H311&amp;""</f>
        <v>SRC_PERF_009</v>
      </c>
      <c r="B1006" s="66" t="s">
        <v>6791</v>
      </c>
      <c r="C1006" s="53" t="n">
        <v>311</v>
      </c>
      <c r="D1006" s="53" t="s">
        <v>6792</v>
      </c>
      <c r="E1006" s="53" t="s">
        <v>6792</v>
      </c>
      <c r="F1006" s="54" t="s">
        <v>587</v>
      </c>
    </row>
    <row r="1007" customFormat="false" ht="15" hidden="false" customHeight="false" outlineLevel="0" collapsed="false">
      <c r="A1007" s="85" t="str">
        <f aca="false">Gov_Map!$H312&amp;""</f>
        <v>SRC_PERF_009</v>
      </c>
      <c r="B1007" s="66" t="s">
        <v>6791</v>
      </c>
      <c r="C1007" s="53" t="n">
        <v>312</v>
      </c>
      <c r="D1007" s="53" t="s">
        <v>6792</v>
      </c>
      <c r="E1007" s="53" t="s">
        <v>6792</v>
      </c>
      <c r="F1007" s="54" t="s">
        <v>587</v>
      </c>
    </row>
    <row r="1008" customFormat="false" ht="15" hidden="false" customHeight="false" outlineLevel="0" collapsed="false">
      <c r="A1008" s="85" t="str">
        <f aca="false">Gov_Map!$H313&amp;""</f>
        <v>SRC_PERF_009</v>
      </c>
      <c r="B1008" s="66" t="s">
        <v>6791</v>
      </c>
      <c r="C1008" s="53" t="n">
        <v>313</v>
      </c>
      <c r="D1008" s="53" t="s">
        <v>6792</v>
      </c>
      <c r="E1008" s="53" t="s">
        <v>6792</v>
      </c>
      <c r="F1008" s="54" t="s">
        <v>587</v>
      </c>
    </row>
    <row r="1009" customFormat="false" ht="15" hidden="false" customHeight="false" outlineLevel="0" collapsed="false">
      <c r="A1009" s="85" t="str">
        <f aca="false">Gov_Map!$H314&amp;""</f>
        <v>SRC_PERF_009</v>
      </c>
      <c r="B1009" s="66" t="s">
        <v>6791</v>
      </c>
      <c r="C1009" s="53" t="n">
        <v>314</v>
      </c>
      <c r="D1009" s="53" t="s">
        <v>6792</v>
      </c>
      <c r="E1009" s="53" t="s">
        <v>6792</v>
      </c>
      <c r="F1009" s="54" t="s">
        <v>587</v>
      </c>
    </row>
    <row r="1010" customFormat="false" ht="15" hidden="false" customHeight="false" outlineLevel="0" collapsed="false">
      <c r="A1010" s="85" t="str">
        <f aca="false">Gov_Map!$H315&amp;""</f>
        <v>SRC_PERF_010</v>
      </c>
      <c r="B1010" s="66" t="s">
        <v>6791</v>
      </c>
      <c r="C1010" s="53" t="n">
        <v>315</v>
      </c>
      <c r="D1010" s="53" t="s">
        <v>6792</v>
      </c>
      <c r="E1010" s="53" t="s">
        <v>6792</v>
      </c>
      <c r="F1010" s="54" t="s">
        <v>587</v>
      </c>
    </row>
    <row r="1011" customFormat="false" ht="15" hidden="false" customHeight="false" outlineLevel="0" collapsed="false">
      <c r="A1011" s="85" t="str">
        <f aca="false">Gov_Map!$H316&amp;""</f>
        <v>SRC_PERF_010</v>
      </c>
      <c r="B1011" s="66" t="s">
        <v>6791</v>
      </c>
      <c r="C1011" s="53" t="n">
        <v>316</v>
      </c>
      <c r="D1011" s="53" t="s">
        <v>6792</v>
      </c>
      <c r="E1011" s="53" t="s">
        <v>6792</v>
      </c>
      <c r="F1011" s="54" t="s">
        <v>587</v>
      </c>
    </row>
    <row r="1012" customFormat="false" ht="15" hidden="false" customHeight="false" outlineLevel="0" collapsed="false">
      <c r="A1012" s="85" t="str">
        <f aca="false">Gov_Map!$H317&amp;""</f>
        <v>SRC_PERF_010</v>
      </c>
      <c r="B1012" s="66" t="s">
        <v>6791</v>
      </c>
      <c r="C1012" s="53" t="n">
        <v>317</v>
      </c>
      <c r="D1012" s="53" t="s">
        <v>6792</v>
      </c>
      <c r="E1012" s="53" t="s">
        <v>6792</v>
      </c>
      <c r="F1012" s="54" t="s">
        <v>587</v>
      </c>
    </row>
    <row r="1013" customFormat="false" ht="15" hidden="false" customHeight="false" outlineLevel="0" collapsed="false">
      <c r="A1013" s="85" t="str">
        <f aca="false">Gov_Map!$H318&amp;""</f>
        <v>SRC_PERF_010</v>
      </c>
      <c r="B1013" s="66" t="s">
        <v>6791</v>
      </c>
      <c r="C1013" s="53" t="n">
        <v>318</v>
      </c>
      <c r="D1013" s="53" t="s">
        <v>6792</v>
      </c>
      <c r="E1013" s="53" t="s">
        <v>6792</v>
      </c>
      <c r="F1013" s="54" t="s">
        <v>587</v>
      </c>
    </row>
    <row r="1014" customFormat="false" ht="15" hidden="false" customHeight="false" outlineLevel="0" collapsed="false">
      <c r="A1014" s="85" t="str">
        <f aca="false">Gov_Map!$H319&amp;""</f>
        <v>SRC_PERF_010</v>
      </c>
      <c r="B1014" s="66" t="s">
        <v>6791</v>
      </c>
      <c r="C1014" s="53" t="n">
        <v>319</v>
      </c>
      <c r="D1014" s="53" t="s">
        <v>6792</v>
      </c>
      <c r="E1014" s="53" t="s">
        <v>6792</v>
      </c>
      <c r="F1014" s="54" t="s">
        <v>587</v>
      </c>
    </row>
    <row r="1015" customFormat="false" ht="15" hidden="false" customHeight="false" outlineLevel="0" collapsed="false">
      <c r="A1015" s="85" t="str">
        <f aca="false">Gov_Map!$H320&amp;""</f>
        <v>SRC_PERF_004</v>
      </c>
      <c r="B1015" s="66" t="s">
        <v>6791</v>
      </c>
      <c r="C1015" s="53" t="n">
        <v>320</v>
      </c>
      <c r="D1015" s="53" t="s">
        <v>6792</v>
      </c>
      <c r="E1015" s="53" t="s">
        <v>6792</v>
      </c>
      <c r="F1015" s="54" t="s">
        <v>587</v>
      </c>
    </row>
    <row r="1016" customFormat="false" ht="15" hidden="false" customHeight="false" outlineLevel="0" collapsed="false">
      <c r="A1016" s="85" t="str">
        <f aca="false">Gov_Map!$H321&amp;""</f>
        <v>SRC_PERF_004</v>
      </c>
      <c r="B1016" s="66" t="s">
        <v>6791</v>
      </c>
      <c r="C1016" s="53" t="n">
        <v>321</v>
      </c>
      <c r="D1016" s="53" t="s">
        <v>6792</v>
      </c>
      <c r="E1016" s="53" t="s">
        <v>6792</v>
      </c>
      <c r="F1016" s="54" t="s">
        <v>587</v>
      </c>
    </row>
    <row r="1017" customFormat="false" ht="15" hidden="false" customHeight="false" outlineLevel="0" collapsed="false">
      <c r="A1017" s="85" t="str">
        <f aca="false">Gov_Map!$H322&amp;""</f>
        <v>SRC_PERF_004</v>
      </c>
      <c r="B1017" s="66" t="s">
        <v>6791</v>
      </c>
      <c r="C1017" s="53" t="n">
        <v>322</v>
      </c>
      <c r="D1017" s="53" t="s">
        <v>6792</v>
      </c>
      <c r="E1017" s="53" t="s">
        <v>6792</v>
      </c>
      <c r="F1017" s="54" t="s">
        <v>587</v>
      </c>
    </row>
    <row r="1018" customFormat="false" ht="15" hidden="false" customHeight="false" outlineLevel="0" collapsed="false">
      <c r="A1018" s="85" t="str">
        <f aca="false">Gov_Map!$H323&amp;""</f>
        <v>SRC_PERF_004</v>
      </c>
      <c r="B1018" s="66" t="s">
        <v>6791</v>
      </c>
      <c r="C1018" s="53" t="n">
        <v>323</v>
      </c>
      <c r="D1018" s="53" t="s">
        <v>6792</v>
      </c>
      <c r="E1018" s="53" t="s">
        <v>6792</v>
      </c>
      <c r="F1018" s="54" t="s">
        <v>587</v>
      </c>
    </row>
    <row r="1019" customFormat="false" ht="15" hidden="false" customHeight="false" outlineLevel="0" collapsed="false">
      <c r="A1019" s="85" t="str">
        <f aca="false">Gov_Map!$H324&amp;""</f>
        <v>SRC_PERF_004</v>
      </c>
      <c r="B1019" s="66" t="s">
        <v>6791</v>
      </c>
      <c r="C1019" s="53" t="n">
        <v>324</v>
      </c>
      <c r="D1019" s="53" t="s">
        <v>6792</v>
      </c>
      <c r="E1019" s="53" t="s">
        <v>6792</v>
      </c>
      <c r="F1019" s="54" t="s">
        <v>587</v>
      </c>
    </row>
    <row r="1020" customFormat="false" ht="15" hidden="false" customHeight="false" outlineLevel="0" collapsed="false">
      <c r="A1020" s="85" t="str">
        <f aca="false">Gov_Map!$H325&amp;""</f>
        <v>SRC_PERF_001</v>
      </c>
      <c r="B1020" s="66" t="s">
        <v>6791</v>
      </c>
      <c r="C1020" s="53" t="n">
        <v>325</v>
      </c>
      <c r="D1020" s="53" t="s">
        <v>6792</v>
      </c>
      <c r="E1020" s="53" t="s">
        <v>6792</v>
      </c>
      <c r="F1020" s="54" t="s">
        <v>587</v>
      </c>
    </row>
    <row r="1021" customFormat="false" ht="15" hidden="false" customHeight="false" outlineLevel="0" collapsed="false">
      <c r="A1021" s="85" t="str">
        <f aca="false">Gov_Map!$H326&amp;""</f>
        <v>SRC_PERF_001</v>
      </c>
      <c r="B1021" s="66" t="s">
        <v>6791</v>
      </c>
      <c r="C1021" s="53" t="n">
        <v>326</v>
      </c>
      <c r="D1021" s="53" t="s">
        <v>6792</v>
      </c>
      <c r="E1021" s="53" t="s">
        <v>6792</v>
      </c>
      <c r="F1021" s="54" t="s">
        <v>587</v>
      </c>
    </row>
    <row r="1022" customFormat="false" ht="15" hidden="false" customHeight="false" outlineLevel="0" collapsed="false">
      <c r="A1022" s="85" t="str">
        <f aca="false">Gov_Map!$H327&amp;""</f>
        <v>SRC_PERF_001</v>
      </c>
      <c r="B1022" s="66" t="s">
        <v>6791</v>
      </c>
      <c r="C1022" s="53" t="n">
        <v>327</v>
      </c>
      <c r="D1022" s="53" t="s">
        <v>6792</v>
      </c>
      <c r="E1022" s="53" t="s">
        <v>6792</v>
      </c>
      <c r="F1022" s="54" t="s">
        <v>587</v>
      </c>
    </row>
    <row r="1023" customFormat="false" ht="15" hidden="false" customHeight="false" outlineLevel="0" collapsed="false">
      <c r="A1023" s="85" t="str">
        <f aca="false">Gov_Map!$H328&amp;""</f>
        <v>SRC_PERF_001</v>
      </c>
      <c r="B1023" s="66" t="s">
        <v>6791</v>
      </c>
      <c r="C1023" s="53" t="n">
        <v>328</v>
      </c>
      <c r="D1023" s="53" t="s">
        <v>6792</v>
      </c>
      <c r="E1023" s="53" t="s">
        <v>6792</v>
      </c>
      <c r="F1023" s="54" t="s">
        <v>587</v>
      </c>
    </row>
    <row r="1024" customFormat="false" ht="15" hidden="false" customHeight="false" outlineLevel="0" collapsed="false">
      <c r="A1024" s="85" t="str">
        <f aca="false">Gov_Map!$H329&amp;""</f>
        <v>SRC_PERF_001</v>
      </c>
      <c r="B1024" s="66" t="s">
        <v>6791</v>
      </c>
      <c r="C1024" s="53" t="n">
        <v>329</v>
      </c>
      <c r="D1024" s="53" t="s">
        <v>6792</v>
      </c>
      <c r="E1024" s="53" t="s">
        <v>6792</v>
      </c>
      <c r="F1024" s="54" t="s">
        <v>587</v>
      </c>
    </row>
    <row r="1025" customFormat="false" ht="15" hidden="false" customHeight="false" outlineLevel="0" collapsed="false">
      <c r="A1025" s="85" t="str">
        <f aca="false">Gov_Map!$H330&amp;""</f>
        <v>SRC_PERF_002</v>
      </c>
      <c r="B1025" s="66" t="s">
        <v>6791</v>
      </c>
      <c r="C1025" s="53" t="n">
        <v>330</v>
      </c>
      <c r="D1025" s="53" t="s">
        <v>6792</v>
      </c>
      <c r="E1025" s="53" t="s">
        <v>6792</v>
      </c>
      <c r="F1025" s="54" t="s">
        <v>587</v>
      </c>
    </row>
    <row r="1026" customFormat="false" ht="15" hidden="false" customHeight="false" outlineLevel="0" collapsed="false">
      <c r="A1026" s="85" t="str">
        <f aca="false">Gov_Map!$H331&amp;""</f>
        <v>SRC_PERF_002</v>
      </c>
      <c r="B1026" s="66" t="s">
        <v>6791</v>
      </c>
      <c r="C1026" s="53" t="n">
        <v>331</v>
      </c>
      <c r="D1026" s="53" t="s">
        <v>6792</v>
      </c>
      <c r="E1026" s="53" t="s">
        <v>6792</v>
      </c>
      <c r="F1026" s="54" t="s">
        <v>587</v>
      </c>
    </row>
    <row r="1027" customFormat="false" ht="15" hidden="false" customHeight="false" outlineLevel="0" collapsed="false">
      <c r="A1027" s="85" t="str">
        <f aca="false">Gov_Map!$H332&amp;""</f>
        <v>SRC_PERF_002</v>
      </c>
      <c r="B1027" s="66" t="s">
        <v>6791</v>
      </c>
      <c r="C1027" s="53" t="n">
        <v>332</v>
      </c>
      <c r="D1027" s="53" t="s">
        <v>6792</v>
      </c>
      <c r="E1027" s="53" t="s">
        <v>6792</v>
      </c>
      <c r="F1027" s="54" t="s">
        <v>587</v>
      </c>
    </row>
    <row r="1028" customFormat="false" ht="15" hidden="false" customHeight="false" outlineLevel="0" collapsed="false">
      <c r="A1028" s="85" t="str">
        <f aca="false">Gov_Map!$H333&amp;""</f>
        <v>SRC_PERF_002</v>
      </c>
      <c r="B1028" s="66" t="s">
        <v>6791</v>
      </c>
      <c r="C1028" s="53" t="n">
        <v>333</v>
      </c>
      <c r="D1028" s="53" t="s">
        <v>6792</v>
      </c>
      <c r="E1028" s="53" t="s">
        <v>6792</v>
      </c>
      <c r="F1028" s="54" t="s">
        <v>587</v>
      </c>
    </row>
    <row r="1029" customFormat="false" ht="15" hidden="false" customHeight="false" outlineLevel="0" collapsed="false">
      <c r="A1029" s="85" t="str">
        <f aca="false">Gov_Map!$H334&amp;""</f>
        <v>SRC_PERF_002</v>
      </c>
      <c r="B1029" s="66" t="s">
        <v>6791</v>
      </c>
      <c r="C1029" s="53" t="n">
        <v>334</v>
      </c>
      <c r="D1029" s="53" t="s">
        <v>6792</v>
      </c>
      <c r="E1029" s="53" t="s">
        <v>6792</v>
      </c>
      <c r="F1029" s="54" t="s">
        <v>587</v>
      </c>
    </row>
    <row r="1030" customFormat="false" ht="15" hidden="false" customHeight="false" outlineLevel="0" collapsed="false">
      <c r="A1030" s="85" t="str">
        <f aca="false">Gov_Map!$H335&amp;""</f>
        <v>SRC_PERF_014</v>
      </c>
      <c r="B1030" s="66" t="s">
        <v>6791</v>
      </c>
      <c r="C1030" s="53" t="n">
        <v>335</v>
      </c>
      <c r="D1030" s="53" t="s">
        <v>6792</v>
      </c>
      <c r="E1030" s="53" t="s">
        <v>6792</v>
      </c>
      <c r="F1030" s="54" t="s">
        <v>587</v>
      </c>
    </row>
    <row r="1031" customFormat="false" ht="15" hidden="false" customHeight="false" outlineLevel="0" collapsed="false">
      <c r="A1031" s="85" t="str">
        <f aca="false">Gov_Map!$H336&amp;""</f>
        <v>SRC_PERF_014</v>
      </c>
      <c r="B1031" s="66" t="s">
        <v>6791</v>
      </c>
      <c r="C1031" s="53" t="n">
        <v>336</v>
      </c>
      <c r="D1031" s="53" t="s">
        <v>6792</v>
      </c>
      <c r="E1031" s="53" t="s">
        <v>6792</v>
      </c>
      <c r="F1031" s="54" t="s">
        <v>587</v>
      </c>
    </row>
    <row r="1032" customFormat="false" ht="15" hidden="false" customHeight="false" outlineLevel="0" collapsed="false">
      <c r="A1032" s="85" t="str">
        <f aca="false">Gov_Map!$H337&amp;""</f>
        <v>SRC_PERF_014</v>
      </c>
      <c r="B1032" s="66" t="s">
        <v>6791</v>
      </c>
      <c r="C1032" s="53" t="n">
        <v>337</v>
      </c>
      <c r="D1032" s="53" t="s">
        <v>6792</v>
      </c>
      <c r="E1032" s="53" t="s">
        <v>6792</v>
      </c>
      <c r="F1032" s="54" t="s">
        <v>587</v>
      </c>
    </row>
    <row r="1033" customFormat="false" ht="15" hidden="false" customHeight="false" outlineLevel="0" collapsed="false">
      <c r="A1033" s="85" t="str">
        <f aca="false">Gov_Map!$H338&amp;""</f>
        <v>SRC_PERF_014</v>
      </c>
      <c r="B1033" s="66" t="s">
        <v>6791</v>
      </c>
      <c r="C1033" s="53" t="n">
        <v>338</v>
      </c>
      <c r="D1033" s="53" t="s">
        <v>6792</v>
      </c>
      <c r="E1033" s="53" t="s">
        <v>6792</v>
      </c>
      <c r="F1033" s="54" t="s">
        <v>587</v>
      </c>
    </row>
    <row r="1034" customFormat="false" ht="15" hidden="false" customHeight="false" outlineLevel="0" collapsed="false">
      <c r="A1034" s="85" t="str">
        <f aca="false">Gov_Map!$H339&amp;""</f>
        <v>SRC_PERF_014</v>
      </c>
      <c r="B1034" s="66" t="s">
        <v>6791</v>
      </c>
      <c r="C1034" s="53" t="n">
        <v>339</v>
      </c>
      <c r="D1034" s="53" t="s">
        <v>6792</v>
      </c>
      <c r="E1034" s="53" t="s">
        <v>6792</v>
      </c>
      <c r="F1034" s="54" t="s">
        <v>587</v>
      </c>
    </row>
    <row r="1035" customFormat="false" ht="15" hidden="false" customHeight="false" outlineLevel="0" collapsed="false">
      <c r="A1035" s="85" t="str">
        <f aca="false">Gov_Map!$H340&amp;""</f>
        <v>SRC_PERF_015</v>
      </c>
      <c r="B1035" s="66" t="s">
        <v>6791</v>
      </c>
      <c r="C1035" s="53" t="n">
        <v>340</v>
      </c>
      <c r="D1035" s="53" t="s">
        <v>6792</v>
      </c>
      <c r="E1035" s="53" t="s">
        <v>6792</v>
      </c>
      <c r="F1035" s="54" t="s">
        <v>587</v>
      </c>
    </row>
    <row r="1036" customFormat="false" ht="15" hidden="false" customHeight="false" outlineLevel="0" collapsed="false">
      <c r="A1036" s="85" t="str">
        <f aca="false">Gov_Map!$H341&amp;""</f>
        <v>SRC_PERF_015</v>
      </c>
      <c r="B1036" s="66" t="s">
        <v>6791</v>
      </c>
      <c r="C1036" s="53" t="n">
        <v>341</v>
      </c>
      <c r="D1036" s="53" t="s">
        <v>6792</v>
      </c>
      <c r="E1036" s="53" t="s">
        <v>6792</v>
      </c>
      <c r="F1036" s="54" t="s">
        <v>587</v>
      </c>
    </row>
    <row r="1037" customFormat="false" ht="15" hidden="false" customHeight="false" outlineLevel="0" collapsed="false">
      <c r="A1037" s="85" t="str">
        <f aca="false">Gov_Map!$H342&amp;""</f>
        <v>SRC_PERF_015</v>
      </c>
      <c r="B1037" s="66" t="s">
        <v>6791</v>
      </c>
      <c r="C1037" s="53" t="n">
        <v>342</v>
      </c>
      <c r="D1037" s="53" t="s">
        <v>6792</v>
      </c>
      <c r="E1037" s="53" t="s">
        <v>6792</v>
      </c>
      <c r="F1037" s="54" t="s">
        <v>587</v>
      </c>
    </row>
    <row r="1038" customFormat="false" ht="15" hidden="false" customHeight="false" outlineLevel="0" collapsed="false">
      <c r="A1038" s="85" t="str">
        <f aca="false">Gov_Map!$H343&amp;""</f>
        <v>SRC_PERF_015</v>
      </c>
      <c r="B1038" s="66" t="s">
        <v>6791</v>
      </c>
      <c r="C1038" s="53" t="n">
        <v>343</v>
      </c>
      <c r="D1038" s="53" t="s">
        <v>6792</v>
      </c>
      <c r="E1038" s="53" t="s">
        <v>6792</v>
      </c>
      <c r="F1038" s="54" t="s">
        <v>587</v>
      </c>
    </row>
    <row r="1039" customFormat="false" ht="15" hidden="false" customHeight="false" outlineLevel="0" collapsed="false">
      <c r="A1039" s="85" t="str">
        <f aca="false">Gov_Map!$H344&amp;""</f>
        <v>SRC_PERF_015</v>
      </c>
      <c r="B1039" s="66" t="s">
        <v>6791</v>
      </c>
      <c r="C1039" s="53" t="n">
        <v>344</v>
      </c>
      <c r="D1039" s="53" t="s">
        <v>6792</v>
      </c>
      <c r="E1039" s="53" t="s">
        <v>6792</v>
      </c>
      <c r="F1039" s="54" t="s">
        <v>587</v>
      </c>
    </row>
    <row r="1040" customFormat="false" ht="15" hidden="false" customHeight="false" outlineLevel="0" collapsed="false">
      <c r="A1040" s="85" t="str">
        <f aca="false">Gov_Map!$H345&amp;""</f>
        <v>SRC_PERF_042</v>
      </c>
      <c r="B1040" s="66" t="s">
        <v>6791</v>
      </c>
      <c r="C1040" s="53" t="n">
        <v>345</v>
      </c>
      <c r="D1040" s="53" t="s">
        <v>6792</v>
      </c>
      <c r="E1040" s="53" t="s">
        <v>6792</v>
      </c>
      <c r="F1040" s="54" t="s">
        <v>587</v>
      </c>
    </row>
    <row r="1041" customFormat="false" ht="15" hidden="false" customHeight="false" outlineLevel="0" collapsed="false">
      <c r="A1041" s="85" t="str">
        <f aca="false">Gov_Map!$H346&amp;""</f>
        <v>SRC_PERF_009</v>
      </c>
      <c r="B1041" s="66" t="s">
        <v>6791</v>
      </c>
      <c r="C1041" s="53" t="n">
        <v>346</v>
      </c>
      <c r="D1041" s="53" t="s">
        <v>6792</v>
      </c>
      <c r="E1041" s="53" t="s">
        <v>6792</v>
      </c>
      <c r="F1041" s="54" t="s">
        <v>587</v>
      </c>
    </row>
    <row r="1042" customFormat="false" ht="15" hidden="false" customHeight="false" outlineLevel="0" collapsed="false">
      <c r="A1042" s="85" t="str">
        <f aca="false">Gov_Map!$H347&amp;""</f>
        <v>SRC_PERF_009</v>
      </c>
      <c r="B1042" s="66" t="s">
        <v>6791</v>
      </c>
      <c r="C1042" s="53" t="n">
        <v>347</v>
      </c>
      <c r="D1042" s="53" t="s">
        <v>6792</v>
      </c>
      <c r="E1042" s="53" t="s">
        <v>6792</v>
      </c>
      <c r="F1042" s="54" t="s">
        <v>587</v>
      </c>
    </row>
    <row r="1043" customFormat="false" ht="15" hidden="false" customHeight="false" outlineLevel="0" collapsed="false">
      <c r="A1043" s="85" t="str">
        <f aca="false">Gov_Map!$H348&amp;""</f>
        <v>SRC_PERF_009</v>
      </c>
      <c r="B1043" s="66" t="s">
        <v>6791</v>
      </c>
      <c r="C1043" s="53" t="n">
        <v>348</v>
      </c>
      <c r="D1043" s="53" t="s">
        <v>6792</v>
      </c>
      <c r="E1043" s="53" t="s">
        <v>6792</v>
      </c>
      <c r="F1043" s="54" t="s">
        <v>587</v>
      </c>
    </row>
    <row r="1044" customFormat="false" ht="15" hidden="false" customHeight="false" outlineLevel="0" collapsed="false">
      <c r="A1044" s="85" t="str">
        <f aca="false">Gov_Map!$H349&amp;""</f>
        <v>SRC_PERF_009</v>
      </c>
      <c r="B1044" s="66" t="s">
        <v>6791</v>
      </c>
      <c r="C1044" s="53" t="n">
        <v>349</v>
      </c>
      <c r="D1044" s="53" t="s">
        <v>6792</v>
      </c>
      <c r="E1044" s="53" t="s">
        <v>6792</v>
      </c>
      <c r="F1044" s="54" t="s">
        <v>587</v>
      </c>
    </row>
    <row r="1045" customFormat="false" ht="15" hidden="false" customHeight="false" outlineLevel="0" collapsed="false">
      <c r="A1045" s="85" t="str">
        <f aca="false">Gov_Map!$H350&amp;""</f>
        <v>—</v>
      </c>
      <c r="B1045" s="66" t="s">
        <v>6791</v>
      </c>
      <c r="C1045" s="53" t="n">
        <v>350</v>
      </c>
      <c r="D1045" s="53" t="s">
        <v>6792</v>
      </c>
      <c r="E1045" s="53" t="s">
        <v>6792</v>
      </c>
      <c r="F1045" s="54" t="s">
        <v>587</v>
      </c>
    </row>
    <row r="1046" customFormat="false" ht="15" hidden="false" customHeight="false" outlineLevel="0" collapsed="false">
      <c r="A1046" s="85" t="str">
        <f aca="false">Gov_Map!$H351&amp;""</f>
        <v>—</v>
      </c>
      <c r="B1046" s="66" t="s">
        <v>6791</v>
      </c>
      <c r="C1046" s="53" t="n">
        <v>351</v>
      </c>
      <c r="D1046" s="53" t="s">
        <v>6792</v>
      </c>
      <c r="E1046" s="53" t="s">
        <v>6792</v>
      </c>
      <c r="F1046" s="54" t="s">
        <v>587</v>
      </c>
    </row>
    <row r="1047" customFormat="false" ht="15" hidden="false" customHeight="false" outlineLevel="0" collapsed="false">
      <c r="A1047" s="85" t="str">
        <f aca="false">Gov_Map!$H352&amp;""</f>
        <v>—</v>
      </c>
      <c r="B1047" s="66" t="s">
        <v>6791</v>
      </c>
      <c r="C1047" s="53" t="n">
        <v>352</v>
      </c>
      <c r="D1047" s="53" t="s">
        <v>6792</v>
      </c>
      <c r="E1047" s="53" t="s">
        <v>6792</v>
      </c>
      <c r="F1047" s="54" t="s">
        <v>587</v>
      </c>
    </row>
    <row r="1048" customFormat="false" ht="15" hidden="false" customHeight="false" outlineLevel="0" collapsed="false">
      <c r="A1048" s="85" t="str">
        <f aca="false">Gov_Map!$H353&amp;""</f>
        <v>—</v>
      </c>
      <c r="B1048" s="66" t="s">
        <v>6791</v>
      </c>
      <c r="C1048" s="53" t="n">
        <v>353</v>
      </c>
      <c r="D1048" s="53" t="s">
        <v>6792</v>
      </c>
      <c r="E1048" s="53" t="s">
        <v>6792</v>
      </c>
      <c r="F1048" s="54" t="s">
        <v>587</v>
      </c>
    </row>
    <row r="1049" customFormat="false" ht="15" hidden="false" customHeight="false" outlineLevel="0" collapsed="false">
      <c r="A1049" s="85" t="str">
        <f aca="false">Gov_Map!$H354&amp;""</f>
        <v>—</v>
      </c>
      <c r="B1049" s="66" t="s">
        <v>6791</v>
      </c>
      <c r="C1049" s="53" t="n">
        <v>354</v>
      </c>
      <c r="D1049" s="53" t="s">
        <v>6792</v>
      </c>
      <c r="E1049" s="53" t="s">
        <v>6792</v>
      </c>
      <c r="F1049" s="54" t="s">
        <v>587</v>
      </c>
    </row>
    <row r="1050" customFormat="false" ht="15" hidden="false" customHeight="false" outlineLevel="0" collapsed="false">
      <c r="A1050" s="85" t="str">
        <f aca="false">Gov_Map!$H355&amp;""</f>
        <v>—</v>
      </c>
      <c r="B1050" s="66" t="s">
        <v>6791</v>
      </c>
      <c r="C1050" s="53" t="n">
        <v>355</v>
      </c>
      <c r="D1050" s="53" t="s">
        <v>6792</v>
      </c>
      <c r="E1050" s="53" t="s">
        <v>6792</v>
      </c>
      <c r="F1050" s="54" t="s">
        <v>587</v>
      </c>
    </row>
    <row r="1051" customFormat="false" ht="15" hidden="false" customHeight="false" outlineLevel="0" collapsed="false">
      <c r="A1051" s="85" t="str">
        <f aca="false">Gov_Map!$H356&amp;""</f>
        <v>—</v>
      </c>
      <c r="B1051" s="66" t="s">
        <v>6791</v>
      </c>
      <c r="C1051" s="53" t="n">
        <v>356</v>
      </c>
      <c r="D1051" s="53" t="s">
        <v>6792</v>
      </c>
      <c r="E1051" s="53" t="s">
        <v>6792</v>
      </c>
      <c r="F1051" s="54" t="s">
        <v>587</v>
      </c>
    </row>
    <row r="1052" customFormat="false" ht="15" hidden="false" customHeight="false" outlineLevel="0" collapsed="false">
      <c r="A1052" s="85" t="str">
        <f aca="false">Gov_Map!$H357&amp;""</f>
        <v>—</v>
      </c>
      <c r="B1052" s="66" t="s">
        <v>6791</v>
      </c>
      <c r="C1052" s="53" t="n">
        <v>357</v>
      </c>
      <c r="D1052" s="53" t="s">
        <v>6792</v>
      </c>
      <c r="E1052" s="53" t="s">
        <v>6792</v>
      </c>
      <c r="F1052" s="54" t="s">
        <v>587</v>
      </c>
    </row>
    <row r="1053" customFormat="false" ht="15" hidden="false" customHeight="false" outlineLevel="0" collapsed="false">
      <c r="A1053" s="85" t="str">
        <f aca="false">Gov_Map!$H358&amp;""</f>
        <v>—</v>
      </c>
      <c r="B1053" s="66" t="s">
        <v>6791</v>
      </c>
      <c r="C1053" s="53" t="n">
        <v>358</v>
      </c>
      <c r="D1053" s="53" t="s">
        <v>6792</v>
      </c>
      <c r="E1053" s="53" t="s">
        <v>6792</v>
      </c>
      <c r="F1053" s="54" t="s">
        <v>587</v>
      </c>
    </row>
    <row r="1054" customFormat="false" ht="15" hidden="false" customHeight="false" outlineLevel="0" collapsed="false">
      <c r="A1054" s="85" t="str">
        <f aca="false">Gov_Map!$H359&amp;""</f>
        <v>—</v>
      </c>
      <c r="B1054" s="66" t="s">
        <v>6791</v>
      </c>
      <c r="C1054" s="53" t="n">
        <v>359</v>
      </c>
      <c r="D1054" s="53" t="s">
        <v>6792</v>
      </c>
      <c r="E1054" s="53" t="s">
        <v>6792</v>
      </c>
      <c r="F1054" s="54" t="s">
        <v>587</v>
      </c>
    </row>
    <row r="1055" customFormat="false" ht="15" hidden="false" customHeight="false" outlineLevel="0" collapsed="false">
      <c r="A1055" s="85" t="str">
        <f aca="false">Gov_Map!$H360&amp;""</f>
        <v>—</v>
      </c>
      <c r="B1055" s="66" t="s">
        <v>6791</v>
      </c>
      <c r="C1055" s="53" t="n">
        <v>360</v>
      </c>
      <c r="D1055" s="53" t="s">
        <v>6792</v>
      </c>
      <c r="E1055" s="53" t="s">
        <v>6792</v>
      </c>
      <c r="F1055" s="54" t="s">
        <v>587</v>
      </c>
    </row>
    <row r="1056" customFormat="false" ht="15" hidden="false" customHeight="false" outlineLevel="0" collapsed="false">
      <c r="A1056" s="85" t="str">
        <f aca="false">Gov_Map!$H361&amp;""</f>
        <v>SRC_MOD_020</v>
      </c>
      <c r="B1056" s="66" t="s">
        <v>6791</v>
      </c>
      <c r="C1056" s="53" t="n">
        <v>361</v>
      </c>
      <c r="D1056" s="53" t="s">
        <v>6792</v>
      </c>
      <c r="E1056" s="53" t="s">
        <v>6792</v>
      </c>
      <c r="F1056" s="54" t="s">
        <v>587</v>
      </c>
    </row>
    <row r="1057" customFormat="false" ht="15" hidden="false" customHeight="false" outlineLevel="0" collapsed="false">
      <c r="A1057" s="85" t="str">
        <f aca="false">Gov_Map!$H362&amp;""</f>
        <v>SRC_MOD_021</v>
      </c>
      <c r="B1057" s="66" t="s">
        <v>6791</v>
      </c>
      <c r="C1057" s="53" t="n">
        <v>362</v>
      </c>
      <c r="D1057" s="53" t="s">
        <v>6792</v>
      </c>
      <c r="E1057" s="53" t="s">
        <v>6792</v>
      </c>
      <c r="F1057" s="54" t="s">
        <v>587</v>
      </c>
    </row>
    <row r="1058" customFormat="false" ht="15" hidden="false" customHeight="false" outlineLevel="0" collapsed="false">
      <c r="A1058" s="85" t="str">
        <f aca="false">Gov_Map!$H363&amp;""</f>
        <v>SRC_MOD_022</v>
      </c>
      <c r="B1058" s="66" t="s">
        <v>6791</v>
      </c>
      <c r="C1058" s="53" t="n">
        <v>363</v>
      </c>
      <c r="D1058" s="53" t="s">
        <v>6792</v>
      </c>
      <c r="E1058" s="53" t="s">
        <v>6792</v>
      </c>
      <c r="F1058" s="54" t="s">
        <v>587</v>
      </c>
    </row>
    <row r="1059" customFormat="false" ht="15" hidden="false" customHeight="false" outlineLevel="0" collapsed="false">
      <c r="A1059" s="85" t="str">
        <f aca="false">Gov_Map!$H364&amp;""</f>
        <v>SRC_MOD_023</v>
      </c>
      <c r="B1059" s="66" t="s">
        <v>6791</v>
      </c>
      <c r="C1059" s="53" t="n">
        <v>364</v>
      </c>
      <c r="D1059" s="53" t="s">
        <v>6792</v>
      </c>
      <c r="E1059" s="53" t="s">
        <v>6792</v>
      </c>
      <c r="F1059" s="54" t="s">
        <v>587</v>
      </c>
    </row>
    <row r="1060" customFormat="false" ht="15" hidden="false" customHeight="false" outlineLevel="0" collapsed="false">
      <c r="A1060" s="85" t="str">
        <f aca="false">Gov_Map!$H365&amp;""</f>
        <v>SRC_MOD_024</v>
      </c>
      <c r="B1060" s="66" t="s">
        <v>6791</v>
      </c>
      <c r="C1060" s="53" t="n">
        <v>365</v>
      </c>
      <c r="D1060" s="53" t="s">
        <v>6792</v>
      </c>
      <c r="E1060" s="53" t="s">
        <v>6792</v>
      </c>
      <c r="F1060" s="54" t="s">
        <v>587</v>
      </c>
    </row>
    <row r="1061" customFormat="false" ht="15" hidden="false" customHeight="false" outlineLevel="0" collapsed="false">
      <c r="A1061" s="85" t="str">
        <f aca="false">Gov_Map!$H366&amp;""</f>
        <v>SRC_MOD_025</v>
      </c>
      <c r="B1061" s="66" t="s">
        <v>6791</v>
      </c>
      <c r="C1061" s="53" t="n">
        <v>366</v>
      </c>
      <c r="D1061" s="53" t="s">
        <v>6792</v>
      </c>
      <c r="E1061" s="53" t="s">
        <v>6792</v>
      </c>
      <c r="F1061" s="54" t="s">
        <v>587</v>
      </c>
    </row>
    <row r="1062" customFormat="false" ht="15" hidden="false" customHeight="false" outlineLevel="0" collapsed="false">
      <c r="A1062" s="85" t="str">
        <f aca="false">Gov_Map!$H367&amp;""</f>
        <v>SRC_MOD_026</v>
      </c>
      <c r="B1062" s="66" t="s">
        <v>6791</v>
      </c>
      <c r="C1062" s="53" t="n">
        <v>367</v>
      </c>
      <c r="D1062" s="53" t="s">
        <v>6792</v>
      </c>
      <c r="E1062" s="53" t="s">
        <v>6792</v>
      </c>
      <c r="F1062" s="54" t="s">
        <v>587</v>
      </c>
    </row>
    <row r="1063" customFormat="false" ht="15" hidden="false" customHeight="false" outlineLevel="0" collapsed="false">
      <c r="A1063" s="85" t="str">
        <f aca="false">Gov_Map!$H368&amp;""</f>
        <v>SRC_MOD_027</v>
      </c>
      <c r="B1063" s="66" t="s">
        <v>6791</v>
      </c>
      <c r="C1063" s="53" t="n">
        <v>368</v>
      </c>
      <c r="D1063" s="53" t="s">
        <v>6792</v>
      </c>
      <c r="E1063" s="53" t="s">
        <v>6792</v>
      </c>
      <c r="F1063" s="54" t="s">
        <v>587</v>
      </c>
    </row>
    <row r="1064" customFormat="false" ht="15" hidden="false" customHeight="false" outlineLevel="0" collapsed="false">
      <c r="A1064" s="85" t="str">
        <f aca="false">Gov_Map!$H369&amp;""</f>
        <v>SRC_MOD_028</v>
      </c>
      <c r="B1064" s="66" t="s">
        <v>6791</v>
      </c>
      <c r="C1064" s="53" t="n">
        <v>369</v>
      </c>
      <c r="D1064" s="53" t="s">
        <v>6792</v>
      </c>
      <c r="E1064" s="53" t="s">
        <v>6792</v>
      </c>
      <c r="F1064" s="54" t="s">
        <v>587</v>
      </c>
    </row>
    <row r="1065" customFormat="false" ht="15" hidden="false" customHeight="false" outlineLevel="0" collapsed="false">
      <c r="A1065" s="85" t="str">
        <f aca="false">Gov_Map!$H370&amp;""</f>
        <v>SRC_MOD_049</v>
      </c>
      <c r="B1065" s="66" t="s">
        <v>6791</v>
      </c>
      <c r="C1065" s="53" t="n">
        <v>370</v>
      </c>
      <c r="D1065" s="53" t="s">
        <v>6792</v>
      </c>
      <c r="E1065" s="53" t="s">
        <v>6792</v>
      </c>
      <c r="F1065" s="54" t="s">
        <v>587</v>
      </c>
    </row>
    <row r="1066" customFormat="false" ht="15" hidden="false" customHeight="false" outlineLevel="0" collapsed="false">
      <c r="A1066" s="85" t="str">
        <f aca="false">Gov_Map!$H371&amp;""</f>
        <v>SRC_PERF_029</v>
      </c>
      <c r="B1066" s="66" t="s">
        <v>6791</v>
      </c>
      <c r="C1066" s="53" t="n">
        <v>371</v>
      </c>
      <c r="D1066" s="53" t="s">
        <v>6792</v>
      </c>
      <c r="E1066" s="53" t="s">
        <v>6792</v>
      </c>
      <c r="F1066" s="54" t="s">
        <v>587</v>
      </c>
    </row>
    <row r="1067" customFormat="false" ht="15" hidden="false" customHeight="false" outlineLevel="0" collapsed="false">
      <c r="A1067" s="85" t="str">
        <f aca="false">Gov_Map!$H372&amp;""</f>
        <v>SRC_PERF_030</v>
      </c>
      <c r="B1067" s="66" t="s">
        <v>6791</v>
      </c>
      <c r="C1067" s="53" t="n">
        <v>372</v>
      </c>
      <c r="D1067" s="53" t="s">
        <v>6792</v>
      </c>
      <c r="E1067" s="53" t="s">
        <v>6792</v>
      </c>
      <c r="F1067" s="54" t="s">
        <v>587</v>
      </c>
    </row>
    <row r="1068" customFormat="false" ht="15" hidden="false" customHeight="false" outlineLevel="0" collapsed="false">
      <c r="A1068" s="85" t="str">
        <f aca="false">Gov_Map!$H373&amp;""</f>
        <v>—</v>
      </c>
      <c r="B1068" s="66" t="s">
        <v>6791</v>
      </c>
      <c r="C1068" s="53" t="n">
        <v>373</v>
      </c>
      <c r="D1068" s="53" t="s">
        <v>6792</v>
      </c>
      <c r="E1068" s="53" t="s">
        <v>6792</v>
      </c>
      <c r="F1068" s="54" t="s">
        <v>587</v>
      </c>
    </row>
    <row r="1069" customFormat="false" ht="15" hidden="false" customHeight="false" outlineLevel="0" collapsed="false">
      <c r="A1069" s="85" t="str">
        <f aca="false">Gov_Map!$H374&amp;""</f>
        <v>SRC_PERF_031</v>
      </c>
      <c r="B1069" s="66" t="s">
        <v>6791</v>
      </c>
      <c r="C1069" s="53" t="n">
        <v>374</v>
      </c>
      <c r="D1069" s="53" t="s">
        <v>6792</v>
      </c>
      <c r="E1069" s="53" t="s">
        <v>6792</v>
      </c>
      <c r="F1069" s="54" t="s">
        <v>587</v>
      </c>
    </row>
    <row r="1070" customFormat="false" ht="15" hidden="false" customHeight="false" outlineLevel="0" collapsed="false">
      <c r="A1070" s="85" t="str">
        <f aca="false">Gov_Map!$H375&amp;""</f>
        <v>SRC_PERF_031</v>
      </c>
      <c r="B1070" s="66" t="s">
        <v>6791</v>
      </c>
      <c r="C1070" s="53" t="n">
        <v>375</v>
      </c>
      <c r="D1070" s="53" t="s">
        <v>6792</v>
      </c>
      <c r="E1070" s="53" t="s">
        <v>6792</v>
      </c>
      <c r="F1070" s="54" t="s">
        <v>587</v>
      </c>
    </row>
    <row r="1071" customFormat="false" ht="15" hidden="false" customHeight="false" outlineLevel="0" collapsed="false">
      <c r="A1071" s="85" t="str">
        <f aca="false">Gov_Map!$H376&amp;""</f>
        <v>SRC_PERF_031</v>
      </c>
      <c r="B1071" s="66" t="s">
        <v>6791</v>
      </c>
      <c r="C1071" s="53" t="n">
        <v>376</v>
      </c>
      <c r="D1071" s="53" t="s">
        <v>6792</v>
      </c>
      <c r="E1071" s="53" t="s">
        <v>6792</v>
      </c>
      <c r="F1071" s="54" t="s">
        <v>587</v>
      </c>
    </row>
    <row r="1072" customFormat="false" ht="15" hidden="false" customHeight="false" outlineLevel="0" collapsed="false">
      <c r="A1072" s="85" t="str">
        <f aca="false">Gov_Map!$H377&amp;""</f>
        <v>SRC_PERF_032</v>
      </c>
      <c r="B1072" s="66" t="s">
        <v>6791</v>
      </c>
      <c r="C1072" s="53" t="n">
        <v>377</v>
      </c>
      <c r="D1072" s="53" t="s">
        <v>6792</v>
      </c>
      <c r="E1072" s="53" t="s">
        <v>6792</v>
      </c>
      <c r="F1072" s="54" t="s">
        <v>587</v>
      </c>
    </row>
    <row r="1073" customFormat="false" ht="15" hidden="false" customHeight="false" outlineLevel="0" collapsed="false">
      <c r="A1073" s="85" t="str">
        <f aca="false">Gov_Map!$H378&amp;""</f>
        <v>SRC_PERF_035</v>
      </c>
      <c r="B1073" s="66" t="s">
        <v>6791</v>
      </c>
      <c r="C1073" s="53" t="n">
        <v>378</v>
      </c>
      <c r="D1073" s="53" t="s">
        <v>6792</v>
      </c>
      <c r="E1073" s="53" t="s">
        <v>6792</v>
      </c>
      <c r="F1073" s="54" t="s">
        <v>587</v>
      </c>
    </row>
    <row r="1074" customFormat="false" ht="15" hidden="false" customHeight="false" outlineLevel="0" collapsed="false">
      <c r="A1074" s="85" t="str">
        <f aca="false">Gov_Map!$H379&amp;""</f>
        <v>SRC_PERF_035</v>
      </c>
      <c r="B1074" s="66" t="s">
        <v>6791</v>
      </c>
      <c r="C1074" s="53" t="n">
        <v>379</v>
      </c>
      <c r="D1074" s="53" t="s">
        <v>6792</v>
      </c>
      <c r="E1074" s="53" t="s">
        <v>6792</v>
      </c>
      <c r="F1074" s="54" t="s">
        <v>587</v>
      </c>
    </row>
    <row r="1075" customFormat="false" ht="15" hidden="false" customHeight="false" outlineLevel="0" collapsed="false">
      <c r="A1075" s="85" t="str">
        <f aca="false">Gov_Map!$H380&amp;""</f>
        <v>SRC_PERF_035</v>
      </c>
      <c r="B1075" s="66" t="s">
        <v>6791</v>
      </c>
      <c r="C1075" s="53" t="n">
        <v>380</v>
      </c>
      <c r="D1075" s="53" t="s">
        <v>6792</v>
      </c>
      <c r="E1075" s="53" t="s">
        <v>6792</v>
      </c>
      <c r="F1075" s="54" t="s">
        <v>587</v>
      </c>
    </row>
    <row r="1076" customFormat="false" ht="15" hidden="false" customHeight="false" outlineLevel="0" collapsed="false">
      <c r="A1076" s="85" t="str">
        <f aca="false">Gov_Map!$H381&amp;""</f>
        <v>SRC_PERF_035</v>
      </c>
      <c r="B1076" s="66" t="s">
        <v>6791</v>
      </c>
      <c r="C1076" s="53" t="n">
        <v>381</v>
      </c>
      <c r="D1076" s="53" t="s">
        <v>6792</v>
      </c>
      <c r="E1076" s="53" t="s">
        <v>6792</v>
      </c>
      <c r="F1076" s="54" t="s">
        <v>587</v>
      </c>
    </row>
    <row r="1077" customFormat="false" ht="15" hidden="false" customHeight="false" outlineLevel="0" collapsed="false">
      <c r="A1077" s="85" t="str">
        <f aca="false">Gov_Map!$H382&amp;""</f>
        <v>SRC_PERF_028</v>
      </c>
      <c r="B1077" s="66" t="s">
        <v>6791</v>
      </c>
      <c r="C1077" s="53" t="n">
        <v>382</v>
      </c>
      <c r="D1077" s="53" t="s">
        <v>6792</v>
      </c>
      <c r="E1077" s="53" t="s">
        <v>6792</v>
      </c>
      <c r="F1077" s="54" t="s">
        <v>587</v>
      </c>
    </row>
    <row r="1078" customFormat="false" ht="15" hidden="false" customHeight="false" outlineLevel="0" collapsed="false">
      <c r="A1078" s="85" t="str">
        <f aca="false">Gov_Map!$H383&amp;""</f>
        <v>SRC_PERF_025</v>
      </c>
      <c r="B1078" s="66" t="s">
        <v>6791</v>
      </c>
      <c r="C1078" s="53" t="n">
        <v>383</v>
      </c>
      <c r="D1078" s="53" t="s">
        <v>6792</v>
      </c>
      <c r="E1078" s="53" t="s">
        <v>6792</v>
      </c>
      <c r="F1078" s="54" t="s">
        <v>587</v>
      </c>
    </row>
    <row r="1079" customFormat="false" ht="15" hidden="false" customHeight="false" outlineLevel="0" collapsed="false">
      <c r="A1079" s="85" t="str">
        <f aca="false">Gov_Map!$H384&amp;""</f>
        <v>SRC_PERF_027</v>
      </c>
      <c r="B1079" s="66" t="s">
        <v>6791</v>
      </c>
      <c r="C1079" s="53" t="n">
        <v>384</v>
      </c>
      <c r="D1079" s="53" t="s">
        <v>6792</v>
      </c>
      <c r="E1079" s="53" t="s">
        <v>6792</v>
      </c>
      <c r="F1079" s="54" t="s">
        <v>587</v>
      </c>
    </row>
    <row r="1080" customFormat="false" ht="15" hidden="false" customHeight="false" outlineLevel="0" collapsed="false">
      <c r="A1080" s="85" t="str">
        <f aca="false">Gov_Map!$H385&amp;""</f>
        <v>SRC_PERF_026</v>
      </c>
      <c r="B1080" s="66" t="s">
        <v>6791</v>
      </c>
      <c r="C1080" s="53" t="n">
        <v>385</v>
      </c>
      <c r="D1080" s="53" t="s">
        <v>6792</v>
      </c>
      <c r="E1080" s="53" t="s">
        <v>6792</v>
      </c>
      <c r="F1080" s="54" t="s">
        <v>587</v>
      </c>
    </row>
    <row r="1081" customFormat="false" ht="15" hidden="false" customHeight="false" outlineLevel="0" collapsed="false">
      <c r="A1081" s="85" t="str">
        <f aca="false">Gov_Map!$H386&amp;""</f>
        <v>—</v>
      </c>
      <c r="B1081" s="66" t="s">
        <v>6791</v>
      </c>
      <c r="C1081" s="53" t="n">
        <v>386</v>
      </c>
      <c r="D1081" s="53" t="s">
        <v>6792</v>
      </c>
      <c r="E1081" s="53" t="s">
        <v>6792</v>
      </c>
      <c r="F1081" s="54" t="s">
        <v>587</v>
      </c>
    </row>
    <row r="1082" customFormat="false" ht="15" hidden="false" customHeight="false" outlineLevel="0" collapsed="false">
      <c r="A1082" s="85" t="str">
        <f aca="false">Gov_Map!$H387&amp;""</f>
        <v>SRC_HW_035</v>
      </c>
      <c r="B1082" s="66" t="s">
        <v>6791</v>
      </c>
      <c r="C1082" s="53" t="n">
        <v>387</v>
      </c>
      <c r="D1082" s="53" t="s">
        <v>6792</v>
      </c>
      <c r="E1082" s="53" t="s">
        <v>6792</v>
      </c>
      <c r="F1082" s="54" t="s">
        <v>587</v>
      </c>
    </row>
    <row r="1083" customFormat="false" ht="15" hidden="false" customHeight="false" outlineLevel="0" collapsed="false">
      <c r="A1083" s="85" t="str">
        <f aca="false">Gov_Map!$H388&amp;""</f>
        <v>—</v>
      </c>
      <c r="B1083" s="66" t="s">
        <v>6791</v>
      </c>
      <c r="C1083" s="53" t="n">
        <v>388</v>
      </c>
      <c r="D1083" s="53" t="s">
        <v>6792</v>
      </c>
      <c r="E1083" s="53" t="s">
        <v>6792</v>
      </c>
      <c r="F1083" s="54" t="s">
        <v>587</v>
      </c>
    </row>
    <row r="1084" customFormat="false" ht="15" hidden="false" customHeight="false" outlineLevel="0" collapsed="false">
      <c r="A1084" s="85" t="str">
        <f aca="false">Gov_Map!$H389&amp;""</f>
        <v>—</v>
      </c>
      <c r="B1084" s="66" t="s">
        <v>6791</v>
      </c>
      <c r="C1084" s="53" t="n">
        <v>389</v>
      </c>
      <c r="D1084" s="53" t="s">
        <v>6792</v>
      </c>
      <c r="E1084" s="53" t="s">
        <v>6792</v>
      </c>
      <c r="F1084" s="54" t="s">
        <v>587</v>
      </c>
    </row>
    <row r="1085" customFormat="false" ht="15" hidden="false" customHeight="false" outlineLevel="0" collapsed="false">
      <c r="A1085" s="85" t="str">
        <f aca="false">Gov_Map!$H390&amp;""</f>
        <v>—</v>
      </c>
      <c r="B1085" s="66" t="s">
        <v>6791</v>
      </c>
      <c r="C1085" s="53" t="n">
        <v>390</v>
      </c>
      <c r="D1085" s="53" t="s">
        <v>6792</v>
      </c>
      <c r="E1085" s="53" t="s">
        <v>6792</v>
      </c>
      <c r="F1085" s="54" t="s">
        <v>587</v>
      </c>
    </row>
    <row r="1086" customFormat="false" ht="15" hidden="false" customHeight="false" outlineLevel="0" collapsed="false">
      <c r="A1086" s="85" t="str">
        <f aca="false">Gov_Map!$H391&amp;""</f>
        <v>—</v>
      </c>
      <c r="B1086" s="66" t="s">
        <v>6791</v>
      </c>
      <c r="C1086" s="53" t="n">
        <v>391</v>
      </c>
      <c r="D1086" s="53" t="s">
        <v>6792</v>
      </c>
      <c r="E1086" s="53" t="s">
        <v>6792</v>
      </c>
      <c r="F1086" s="54" t="s">
        <v>587</v>
      </c>
    </row>
    <row r="1087" customFormat="false" ht="15" hidden="false" customHeight="false" outlineLevel="0" collapsed="false">
      <c r="A1087" s="85" t="str">
        <f aca="false">Gov_Map!$H392&amp;""</f>
        <v>—</v>
      </c>
      <c r="B1087" s="66" t="s">
        <v>6791</v>
      </c>
      <c r="C1087" s="53" t="n">
        <v>392</v>
      </c>
      <c r="D1087" s="53" t="s">
        <v>6792</v>
      </c>
      <c r="E1087" s="53" t="s">
        <v>6792</v>
      </c>
      <c r="F1087" s="54" t="s">
        <v>587</v>
      </c>
    </row>
    <row r="1088" customFormat="false" ht="15" hidden="false" customHeight="false" outlineLevel="0" collapsed="false">
      <c r="A1088" s="85" t="str">
        <f aca="false">Gov_Map!$H393&amp;""</f>
        <v>—</v>
      </c>
      <c r="B1088" s="66" t="s">
        <v>6791</v>
      </c>
      <c r="C1088" s="53" t="n">
        <v>393</v>
      </c>
      <c r="D1088" s="53" t="s">
        <v>6792</v>
      </c>
      <c r="E1088" s="53" t="s">
        <v>6792</v>
      </c>
      <c r="F1088" s="54" t="s">
        <v>587</v>
      </c>
    </row>
    <row r="1089" customFormat="false" ht="15" hidden="false" customHeight="false" outlineLevel="0" collapsed="false">
      <c r="A1089" s="85" t="str">
        <f aca="false">Gov_Map!$H394&amp;""</f>
        <v>—</v>
      </c>
      <c r="B1089" s="66" t="s">
        <v>6791</v>
      </c>
      <c r="C1089" s="53" t="n">
        <v>394</v>
      </c>
      <c r="D1089" s="53" t="s">
        <v>6792</v>
      </c>
      <c r="E1089" s="53" t="s">
        <v>6792</v>
      </c>
      <c r="F1089" s="54" t="s">
        <v>587</v>
      </c>
    </row>
    <row r="1090" customFormat="false" ht="15" hidden="false" customHeight="false" outlineLevel="0" collapsed="false">
      <c r="A1090" s="85" t="str">
        <f aca="false">Gov_Map!$H395&amp;""</f>
        <v>—</v>
      </c>
      <c r="B1090" s="66" t="s">
        <v>6791</v>
      </c>
      <c r="C1090" s="53" t="n">
        <v>395</v>
      </c>
      <c r="D1090" s="53" t="s">
        <v>6792</v>
      </c>
      <c r="E1090" s="53" t="s">
        <v>6792</v>
      </c>
      <c r="F1090" s="54" t="s">
        <v>587</v>
      </c>
    </row>
    <row r="1091" customFormat="false" ht="15" hidden="false" customHeight="false" outlineLevel="0" collapsed="false">
      <c r="A1091" s="85" t="str">
        <f aca="false">Gov_Map!$H396&amp;""</f>
        <v>—</v>
      </c>
      <c r="B1091" s="66" t="s">
        <v>6791</v>
      </c>
      <c r="C1091" s="53" t="n">
        <v>396</v>
      </c>
      <c r="D1091" s="53" t="s">
        <v>6792</v>
      </c>
      <c r="E1091" s="53" t="s">
        <v>6792</v>
      </c>
      <c r="F1091" s="54" t="s">
        <v>587</v>
      </c>
    </row>
    <row r="1092" customFormat="false" ht="15" hidden="false" customHeight="false" outlineLevel="0" collapsed="false">
      <c r="A1092" s="85" t="str">
        <f aca="false">Gov_Map!$H397&amp;""</f>
        <v>—</v>
      </c>
      <c r="B1092" s="66" t="s">
        <v>6791</v>
      </c>
      <c r="C1092" s="53" t="n">
        <v>397</v>
      </c>
      <c r="D1092" s="53" t="s">
        <v>6792</v>
      </c>
      <c r="E1092" s="53" t="s">
        <v>6792</v>
      </c>
      <c r="F1092" s="54" t="s">
        <v>587</v>
      </c>
    </row>
    <row r="1093" customFormat="false" ht="15" hidden="false" customHeight="false" outlineLevel="0" collapsed="false">
      <c r="A1093" s="85" t="str">
        <f aca="false">Gov_Map!$H398&amp;""</f>
        <v>—</v>
      </c>
      <c r="B1093" s="66" t="s">
        <v>6791</v>
      </c>
      <c r="C1093" s="53" t="n">
        <v>398</v>
      </c>
      <c r="D1093" s="53" t="s">
        <v>6792</v>
      </c>
      <c r="E1093" s="53" t="s">
        <v>6792</v>
      </c>
      <c r="F1093" s="54" t="s">
        <v>587</v>
      </c>
    </row>
    <row r="1094" customFormat="false" ht="15" hidden="false" customHeight="false" outlineLevel="0" collapsed="false">
      <c r="A1094" s="85" t="str">
        <f aca="false">Gov_Map!$H399&amp;""</f>
        <v>—</v>
      </c>
      <c r="B1094" s="66" t="s">
        <v>6791</v>
      </c>
      <c r="C1094" s="53" t="n">
        <v>399</v>
      </c>
      <c r="D1094" s="53" t="s">
        <v>6792</v>
      </c>
      <c r="E1094" s="53" t="s">
        <v>6792</v>
      </c>
      <c r="F1094" s="54" t="s">
        <v>587</v>
      </c>
    </row>
    <row r="1095" customFormat="false" ht="15" hidden="false" customHeight="false" outlineLevel="0" collapsed="false">
      <c r="A1095" s="85" t="str">
        <f aca="false">Gov_Map!$H400&amp;""</f>
        <v>—</v>
      </c>
      <c r="B1095" s="66" t="s">
        <v>6791</v>
      </c>
      <c r="C1095" s="53" t="n">
        <v>400</v>
      </c>
      <c r="D1095" s="53" t="s">
        <v>6792</v>
      </c>
      <c r="E1095" s="53" t="s">
        <v>6792</v>
      </c>
      <c r="F1095" s="54" t="s">
        <v>587</v>
      </c>
    </row>
    <row r="1096" customFormat="false" ht="15" hidden="false" customHeight="false" outlineLevel="0" collapsed="false">
      <c r="A1096" s="85" t="str">
        <f aca="false">Gov_Map!$H401&amp;""</f>
        <v>—</v>
      </c>
      <c r="B1096" s="66" t="s">
        <v>6791</v>
      </c>
      <c r="C1096" s="53" t="n">
        <v>401</v>
      </c>
      <c r="D1096" s="53" t="s">
        <v>6792</v>
      </c>
      <c r="E1096" s="53" t="s">
        <v>6792</v>
      </c>
      <c r="F1096" s="54" t="s">
        <v>587</v>
      </c>
    </row>
    <row r="1097" customFormat="false" ht="15" hidden="false" customHeight="false" outlineLevel="0" collapsed="false">
      <c r="A1097" s="85" t="str">
        <f aca="false">Gov_Map!$H402&amp;""</f>
        <v>—</v>
      </c>
      <c r="B1097" s="66" t="s">
        <v>6791</v>
      </c>
      <c r="C1097" s="53" t="n">
        <v>402</v>
      </c>
      <c r="D1097" s="53" t="s">
        <v>6792</v>
      </c>
      <c r="E1097" s="53" t="s">
        <v>6792</v>
      </c>
      <c r="F1097" s="54" t="s">
        <v>587</v>
      </c>
    </row>
    <row r="1098" customFormat="false" ht="15" hidden="false" customHeight="false" outlineLevel="0" collapsed="false">
      <c r="A1098" s="85" t="str">
        <f aca="false">Gov_Map!$H403&amp;""</f>
        <v>—</v>
      </c>
      <c r="B1098" s="66" t="s">
        <v>6791</v>
      </c>
      <c r="C1098" s="53" t="n">
        <v>403</v>
      </c>
      <c r="D1098" s="53" t="s">
        <v>6792</v>
      </c>
      <c r="E1098" s="53" t="s">
        <v>6792</v>
      </c>
      <c r="F1098" s="54" t="s">
        <v>587</v>
      </c>
    </row>
    <row r="1099" customFormat="false" ht="15" hidden="false" customHeight="false" outlineLevel="0" collapsed="false">
      <c r="A1099" s="85" t="str">
        <f aca="false">Gov_Map!$H404&amp;""</f>
        <v>—</v>
      </c>
      <c r="B1099" s="66" t="s">
        <v>6791</v>
      </c>
      <c r="C1099" s="53" t="n">
        <v>404</v>
      </c>
      <c r="D1099" s="53" t="s">
        <v>6792</v>
      </c>
      <c r="E1099" s="53" t="s">
        <v>6792</v>
      </c>
      <c r="F1099" s="54" t="s">
        <v>587</v>
      </c>
    </row>
    <row r="1100" customFormat="false" ht="15" hidden="false" customHeight="false" outlineLevel="0" collapsed="false">
      <c r="A1100" s="85" t="str">
        <f aca="false">Gov_Map!$H405&amp;""</f>
        <v>—</v>
      </c>
      <c r="B1100" s="66" t="s">
        <v>6791</v>
      </c>
      <c r="C1100" s="53" t="n">
        <v>405</v>
      </c>
      <c r="D1100" s="53" t="s">
        <v>6792</v>
      </c>
      <c r="E1100" s="53" t="s">
        <v>6792</v>
      </c>
      <c r="F1100" s="54" t="s">
        <v>587</v>
      </c>
    </row>
    <row r="1101" customFormat="false" ht="15" hidden="false" customHeight="false" outlineLevel="0" collapsed="false">
      <c r="A1101" s="85" t="str">
        <f aca="false">Gov_Map!$H406&amp;""</f>
        <v>—</v>
      </c>
      <c r="B1101" s="66" t="s">
        <v>6791</v>
      </c>
      <c r="C1101" s="53" t="n">
        <v>406</v>
      </c>
      <c r="D1101" s="53" t="s">
        <v>6792</v>
      </c>
      <c r="E1101" s="53" t="s">
        <v>6792</v>
      </c>
      <c r="F1101" s="54" t="s">
        <v>587</v>
      </c>
    </row>
    <row r="1102" customFormat="false" ht="15" hidden="false" customHeight="false" outlineLevel="0" collapsed="false">
      <c r="A1102" s="85" t="str">
        <f aca="false">Gov_Map!$H407&amp;""</f>
        <v>—</v>
      </c>
      <c r="B1102" s="66" t="s">
        <v>6791</v>
      </c>
      <c r="C1102" s="53" t="n">
        <v>407</v>
      </c>
      <c r="D1102" s="53" t="s">
        <v>6792</v>
      </c>
      <c r="E1102" s="53" t="s">
        <v>6792</v>
      </c>
      <c r="F1102" s="54" t="s">
        <v>587</v>
      </c>
    </row>
    <row r="1103" customFormat="false" ht="15" hidden="false" customHeight="false" outlineLevel="0" collapsed="false">
      <c r="A1103" s="85" t="str">
        <f aca="false">Gov_Map!$H408&amp;""</f>
        <v>—</v>
      </c>
      <c r="B1103" s="66" t="s">
        <v>6791</v>
      </c>
      <c r="C1103" s="53" t="n">
        <v>408</v>
      </c>
      <c r="D1103" s="53" t="s">
        <v>6792</v>
      </c>
      <c r="E1103" s="53" t="s">
        <v>6792</v>
      </c>
      <c r="F1103" s="54" t="s">
        <v>587</v>
      </c>
    </row>
    <row r="1104" customFormat="false" ht="15" hidden="false" customHeight="false" outlineLevel="0" collapsed="false">
      <c r="A1104" s="85" t="str">
        <f aca="false">Gov_Map!$H409&amp;""</f>
        <v>—</v>
      </c>
      <c r="B1104" s="66" t="s">
        <v>6791</v>
      </c>
      <c r="C1104" s="53" t="n">
        <v>409</v>
      </c>
      <c r="D1104" s="53" t="s">
        <v>6792</v>
      </c>
      <c r="E1104" s="53" t="s">
        <v>6792</v>
      </c>
      <c r="F1104" s="54" t="s">
        <v>587</v>
      </c>
    </row>
    <row r="1105" customFormat="false" ht="15" hidden="false" customHeight="false" outlineLevel="0" collapsed="false">
      <c r="A1105" s="85" t="str">
        <f aca="false">Gov_Map!$H410&amp;""</f>
        <v>—</v>
      </c>
      <c r="B1105" s="66" t="s">
        <v>6791</v>
      </c>
      <c r="C1105" s="53" t="n">
        <v>410</v>
      </c>
      <c r="D1105" s="53" t="s">
        <v>6792</v>
      </c>
      <c r="E1105" s="53" t="s">
        <v>6792</v>
      </c>
      <c r="F1105" s="54" t="s">
        <v>587</v>
      </c>
    </row>
    <row r="1106" customFormat="false" ht="15" hidden="false" customHeight="false" outlineLevel="0" collapsed="false">
      <c r="A1106" s="85" t="str">
        <f aca="false">Gov_Map!$H411&amp;""</f>
        <v>—</v>
      </c>
      <c r="B1106" s="66" t="s">
        <v>6791</v>
      </c>
      <c r="C1106" s="53" t="n">
        <v>411</v>
      </c>
      <c r="D1106" s="53" t="s">
        <v>6792</v>
      </c>
      <c r="E1106" s="53" t="s">
        <v>6792</v>
      </c>
      <c r="F1106" s="54" t="s">
        <v>587</v>
      </c>
    </row>
    <row r="1107" customFormat="false" ht="15" hidden="false" customHeight="false" outlineLevel="0" collapsed="false">
      <c r="A1107" s="85" t="str">
        <f aca="false">Gov_Map!$H412&amp;""</f>
        <v>—</v>
      </c>
      <c r="B1107" s="66" t="s">
        <v>6791</v>
      </c>
      <c r="C1107" s="53" t="n">
        <v>412</v>
      </c>
      <c r="D1107" s="53" t="s">
        <v>6792</v>
      </c>
      <c r="E1107" s="53" t="s">
        <v>6792</v>
      </c>
      <c r="F1107" s="54" t="s">
        <v>587</v>
      </c>
    </row>
    <row r="1108" customFormat="false" ht="15" hidden="false" customHeight="false" outlineLevel="0" collapsed="false">
      <c r="A1108" s="85" t="str">
        <f aca="false">Gov_Map!$H413&amp;""</f>
        <v>—</v>
      </c>
      <c r="B1108" s="66" t="s">
        <v>6791</v>
      </c>
      <c r="C1108" s="53" t="n">
        <v>413</v>
      </c>
      <c r="D1108" s="53" t="s">
        <v>6792</v>
      </c>
      <c r="E1108" s="53" t="s">
        <v>6792</v>
      </c>
      <c r="F1108" s="54" t="s">
        <v>587</v>
      </c>
    </row>
    <row r="1109" customFormat="false" ht="15" hidden="false" customHeight="false" outlineLevel="0" collapsed="false">
      <c r="A1109" s="85" t="str">
        <f aca="false">Gov_Map!$H414&amp;""</f>
        <v>—</v>
      </c>
      <c r="B1109" s="66" t="s">
        <v>6791</v>
      </c>
      <c r="C1109" s="53" t="n">
        <v>414</v>
      </c>
      <c r="D1109" s="53" t="s">
        <v>6792</v>
      </c>
      <c r="E1109" s="53" t="s">
        <v>6792</v>
      </c>
      <c r="F1109" s="54" t="s">
        <v>587</v>
      </c>
    </row>
    <row r="1110" customFormat="false" ht="15" hidden="false" customHeight="false" outlineLevel="0" collapsed="false">
      <c r="A1110" s="85" t="str">
        <f aca="false">Gov_Map!$H415&amp;""</f>
        <v>—</v>
      </c>
      <c r="B1110" s="66" t="s">
        <v>6791</v>
      </c>
      <c r="C1110" s="53" t="n">
        <v>415</v>
      </c>
      <c r="D1110" s="53" t="s">
        <v>6792</v>
      </c>
      <c r="E1110" s="53" t="s">
        <v>6792</v>
      </c>
      <c r="F1110" s="54" t="s">
        <v>587</v>
      </c>
    </row>
    <row r="1111" customFormat="false" ht="15" hidden="false" customHeight="false" outlineLevel="0" collapsed="false">
      <c r="A1111" s="85" t="str">
        <f aca="false">Gov_Map!$H416&amp;""</f>
        <v>—</v>
      </c>
      <c r="B1111" s="66" t="s">
        <v>6791</v>
      </c>
      <c r="C1111" s="53" t="n">
        <v>416</v>
      </c>
      <c r="D1111" s="53" t="s">
        <v>6792</v>
      </c>
      <c r="E1111" s="53" t="s">
        <v>6792</v>
      </c>
      <c r="F1111" s="54" t="s">
        <v>587</v>
      </c>
    </row>
    <row r="1112" customFormat="false" ht="15" hidden="false" customHeight="false" outlineLevel="0" collapsed="false">
      <c r="A1112" s="85" t="str">
        <f aca="false">Gov_Map!$H417&amp;""</f>
        <v>—</v>
      </c>
      <c r="B1112" s="66" t="s">
        <v>6791</v>
      </c>
      <c r="C1112" s="53" t="n">
        <v>417</v>
      </c>
      <c r="D1112" s="53" t="s">
        <v>6792</v>
      </c>
      <c r="E1112" s="53" t="s">
        <v>6792</v>
      </c>
      <c r="F1112" s="54" t="s">
        <v>587</v>
      </c>
    </row>
    <row r="1113" customFormat="false" ht="15" hidden="false" customHeight="false" outlineLevel="0" collapsed="false">
      <c r="A1113" s="85" t="str">
        <f aca="false">Gov_Map!$H418&amp;""</f>
        <v>—</v>
      </c>
      <c r="B1113" s="66" t="s">
        <v>6791</v>
      </c>
      <c r="C1113" s="53" t="n">
        <v>418</v>
      </c>
      <c r="D1113" s="53" t="s">
        <v>6792</v>
      </c>
      <c r="E1113" s="53" t="s">
        <v>6792</v>
      </c>
      <c r="F1113" s="54" t="s">
        <v>587</v>
      </c>
    </row>
    <row r="1114" customFormat="false" ht="15" hidden="false" customHeight="false" outlineLevel="0" collapsed="false">
      <c r="A1114" s="85" t="str">
        <f aca="false">Gov_Map!$H419&amp;""</f>
        <v>—</v>
      </c>
      <c r="B1114" s="66" t="s">
        <v>6791</v>
      </c>
      <c r="C1114" s="53" t="n">
        <v>419</v>
      </c>
      <c r="D1114" s="53" t="s">
        <v>6792</v>
      </c>
      <c r="E1114" s="53" t="s">
        <v>6792</v>
      </c>
      <c r="F1114" s="54" t="s">
        <v>587</v>
      </c>
    </row>
    <row r="1115" customFormat="false" ht="15" hidden="false" customHeight="false" outlineLevel="0" collapsed="false">
      <c r="A1115" s="85" t="str">
        <f aca="false">Gov_Map!$H420&amp;""</f>
        <v>—</v>
      </c>
      <c r="B1115" s="66" t="s">
        <v>6791</v>
      </c>
      <c r="C1115" s="53" t="n">
        <v>420</v>
      </c>
      <c r="D1115" s="53" t="s">
        <v>6792</v>
      </c>
      <c r="E1115" s="53" t="s">
        <v>6792</v>
      </c>
      <c r="F1115" s="54" t="s">
        <v>587</v>
      </c>
    </row>
    <row r="1116" customFormat="false" ht="15" hidden="false" customHeight="false" outlineLevel="0" collapsed="false">
      <c r="A1116" s="85" t="str">
        <f aca="false">Gov_Map!$H421&amp;""</f>
        <v>—</v>
      </c>
      <c r="B1116" s="66" t="s">
        <v>6791</v>
      </c>
      <c r="C1116" s="53" t="n">
        <v>421</v>
      </c>
      <c r="D1116" s="53" t="s">
        <v>6792</v>
      </c>
      <c r="E1116" s="53" t="s">
        <v>6792</v>
      </c>
      <c r="F1116" s="54" t="s">
        <v>587</v>
      </c>
    </row>
    <row r="1117" customFormat="false" ht="15" hidden="false" customHeight="false" outlineLevel="0" collapsed="false">
      <c r="A1117" s="85" t="str">
        <f aca="false">Gov_Map!$H422&amp;""</f>
        <v>—</v>
      </c>
      <c r="B1117" s="66" t="s">
        <v>6791</v>
      </c>
      <c r="C1117" s="53" t="n">
        <v>422</v>
      </c>
      <c r="D1117" s="53" t="s">
        <v>6792</v>
      </c>
      <c r="E1117" s="53" t="s">
        <v>6792</v>
      </c>
      <c r="F1117" s="54" t="s">
        <v>587</v>
      </c>
    </row>
    <row r="1118" customFormat="false" ht="15" hidden="false" customHeight="false" outlineLevel="0" collapsed="false">
      <c r="A1118" s="85" t="str">
        <f aca="false">Gov_Map!$H423&amp;""</f>
        <v>—</v>
      </c>
      <c r="B1118" s="66" t="s">
        <v>6791</v>
      </c>
      <c r="C1118" s="53" t="n">
        <v>423</v>
      </c>
      <c r="D1118" s="53" t="s">
        <v>6792</v>
      </c>
      <c r="E1118" s="53" t="s">
        <v>6792</v>
      </c>
      <c r="F1118" s="54" t="s">
        <v>587</v>
      </c>
    </row>
    <row r="1119" customFormat="false" ht="15" hidden="false" customHeight="false" outlineLevel="0" collapsed="false">
      <c r="A1119" s="85" t="str">
        <f aca="false">Gov_Map!$H424&amp;""</f>
        <v>—</v>
      </c>
      <c r="B1119" s="66" t="s">
        <v>6791</v>
      </c>
      <c r="C1119" s="53" t="n">
        <v>424</v>
      </c>
      <c r="D1119" s="53" t="s">
        <v>6792</v>
      </c>
      <c r="E1119" s="53" t="s">
        <v>6792</v>
      </c>
      <c r="F1119" s="54" t="s">
        <v>587</v>
      </c>
    </row>
    <row r="1120" customFormat="false" ht="15" hidden="false" customHeight="false" outlineLevel="0" collapsed="false">
      <c r="A1120" s="85" t="str">
        <f aca="false">Gov_Map!$H425&amp;""</f>
        <v>—</v>
      </c>
      <c r="B1120" s="66" t="s">
        <v>6791</v>
      </c>
      <c r="C1120" s="53" t="n">
        <v>425</v>
      </c>
      <c r="D1120" s="53" t="s">
        <v>6792</v>
      </c>
      <c r="E1120" s="53" t="s">
        <v>6792</v>
      </c>
      <c r="F1120" s="54" t="s">
        <v>587</v>
      </c>
    </row>
    <row r="1121" customFormat="false" ht="15" hidden="false" customHeight="false" outlineLevel="0" collapsed="false">
      <c r="A1121" s="85" t="str">
        <f aca="false">Gov_Map!$H426&amp;""</f>
        <v>—</v>
      </c>
      <c r="B1121" s="66" t="s">
        <v>6791</v>
      </c>
      <c r="C1121" s="53" t="n">
        <v>426</v>
      </c>
      <c r="D1121" s="53" t="s">
        <v>6792</v>
      </c>
      <c r="E1121" s="53" t="s">
        <v>6792</v>
      </c>
      <c r="F1121" s="54" t="s">
        <v>587</v>
      </c>
    </row>
    <row r="1122" customFormat="false" ht="15" hidden="false" customHeight="false" outlineLevel="0" collapsed="false">
      <c r="A1122" s="85" t="str">
        <f aca="false">Gov_Map!$H427&amp;""</f>
        <v>—</v>
      </c>
      <c r="B1122" s="66" t="s">
        <v>6791</v>
      </c>
      <c r="C1122" s="53" t="n">
        <v>427</v>
      </c>
      <c r="D1122" s="53" t="s">
        <v>6792</v>
      </c>
      <c r="E1122" s="53" t="s">
        <v>6792</v>
      </c>
      <c r="F1122" s="54" t="s">
        <v>587</v>
      </c>
    </row>
    <row r="1123" customFormat="false" ht="15" hidden="false" customHeight="false" outlineLevel="0" collapsed="false">
      <c r="A1123" s="85" t="str">
        <f aca="false">Gov_Map!$H428&amp;""</f>
        <v>—</v>
      </c>
      <c r="B1123" s="66" t="s">
        <v>6791</v>
      </c>
      <c r="C1123" s="53" t="n">
        <v>428</v>
      </c>
      <c r="D1123" s="53" t="s">
        <v>6792</v>
      </c>
      <c r="E1123" s="53" t="s">
        <v>6792</v>
      </c>
      <c r="F1123" s="54" t="s">
        <v>587</v>
      </c>
    </row>
    <row r="1124" customFormat="false" ht="15" hidden="false" customHeight="false" outlineLevel="0" collapsed="false">
      <c r="A1124" s="85" t="str">
        <f aca="false">Gov_Map!$H429&amp;""</f>
        <v>—</v>
      </c>
      <c r="B1124" s="66" t="s">
        <v>6791</v>
      </c>
      <c r="C1124" s="53" t="n">
        <v>429</v>
      </c>
      <c r="D1124" s="53" t="s">
        <v>6792</v>
      </c>
      <c r="E1124" s="53" t="s">
        <v>6792</v>
      </c>
      <c r="F1124" s="54" t="s">
        <v>587</v>
      </c>
    </row>
    <row r="1125" customFormat="false" ht="15" hidden="false" customHeight="false" outlineLevel="0" collapsed="false">
      <c r="A1125" s="85" t="str">
        <f aca="false">Gov_Map!$H430&amp;""</f>
        <v>—</v>
      </c>
      <c r="B1125" s="66" t="s">
        <v>6791</v>
      </c>
      <c r="C1125" s="53" t="n">
        <v>430</v>
      </c>
      <c r="D1125" s="53" t="s">
        <v>6792</v>
      </c>
      <c r="E1125" s="53" t="s">
        <v>6792</v>
      </c>
      <c r="F1125" s="54" t="s">
        <v>587</v>
      </c>
    </row>
    <row r="1126" customFormat="false" ht="15" hidden="false" customHeight="false" outlineLevel="0" collapsed="false">
      <c r="A1126" s="85" t="str">
        <f aca="false">Gov_Map!$H431&amp;""</f>
        <v>SRC_MOD_029</v>
      </c>
      <c r="B1126" s="66" t="s">
        <v>6791</v>
      </c>
      <c r="C1126" s="53" t="n">
        <v>431</v>
      </c>
      <c r="D1126" s="53" t="s">
        <v>6792</v>
      </c>
      <c r="E1126" s="53" t="s">
        <v>6792</v>
      </c>
      <c r="F1126" s="54" t="s">
        <v>587</v>
      </c>
    </row>
    <row r="1127" customFormat="false" ht="15" hidden="false" customHeight="false" outlineLevel="0" collapsed="false">
      <c r="A1127" s="85" t="str">
        <f aca="false">Gov_Map!$H432&amp;""</f>
        <v>SRC_MOD_030</v>
      </c>
      <c r="B1127" s="66" t="s">
        <v>6791</v>
      </c>
      <c r="C1127" s="53" t="n">
        <v>432</v>
      </c>
      <c r="D1127" s="53" t="s">
        <v>6792</v>
      </c>
      <c r="E1127" s="53" t="s">
        <v>6792</v>
      </c>
      <c r="F1127" s="54" t="s">
        <v>587</v>
      </c>
    </row>
    <row r="1128" customFormat="false" ht="15" hidden="false" customHeight="false" outlineLevel="0" collapsed="false">
      <c r="A1128" s="85" t="str">
        <f aca="false">Gov_Map!$H433&amp;""</f>
        <v>SRC_MOD_031</v>
      </c>
      <c r="B1128" s="66" t="s">
        <v>6791</v>
      </c>
      <c r="C1128" s="53" t="n">
        <v>433</v>
      </c>
      <c r="D1128" s="53" t="s">
        <v>6792</v>
      </c>
      <c r="E1128" s="53" t="s">
        <v>6792</v>
      </c>
      <c r="F1128" s="54" t="s">
        <v>587</v>
      </c>
    </row>
    <row r="1129" customFormat="false" ht="15" hidden="false" customHeight="false" outlineLevel="0" collapsed="false">
      <c r="A1129" s="85" t="str">
        <f aca="false">Gov_Map!$H434&amp;""</f>
        <v>SRC_MOD_031</v>
      </c>
      <c r="B1129" s="66" t="s">
        <v>6791</v>
      </c>
      <c r="C1129" s="53" t="n">
        <v>434</v>
      </c>
      <c r="D1129" s="53" t="s">
        <v>6792</v>
      </c>
      <c r="E1129" s="53" t="s">
        <v>6792</v>
      </c>
      <c r="F1129" s="54" t="s">
        <v>587</v>
      </c>
    </row>
    <row r="1130" customFormat="false" ht="15" hidden="false" customHeight="false" outlineLevel="0" collapsed="false">
      <c r="A1130" s="85" t="str">
        <f aca="false">Gov_Map!$H435&amp;""</f>
        <v>SRC_MOD_039</v>
      </c>
      <c r="B1130" s="66" t="s">
        <v>6791</v>
      </c>
      <c r="C1130" s="53" t="n">
        <v>435</v>
      </c>
      <c r="D1130" s="53" t="s">
        <v>6792</v>
      </c>
      <c r="E1130" s="53" t="s">
        <v>6792</v>
      </c>
      <c r="F1130" s="54" t="s">
        <v>587</v>
      </c>
    </row>
    <row r="1131" customFormat="false" ht="15" hidden="false" customHeight="false" outlineLevel="0" collapsed="false">
      <c r="A1131" s="85" t="str">
        <f aca="false">Gov_Map!$H436&amp;""</f>
        <v>SRC_MOD_040</v>
      </c>
      <c r="B1131" s="66" t="s">
        <v>6791</v>
      </c>
      <c r="C1131" s="53" t="n">
        <v>436</v>
      </c>
      <c r="D1131" s="53" t="s">
        <v>6792</v>
      </c>
      <c r="E1131" s="53" t="s">
        <v>6792</v>
      </c>
      <c r="F1131" s="54" t="s">
        <v>587</v>
      </c>
    </row>
    <row r="1132" customFormat="false" ht="15" hidden="false" customHeight="false" outlineLevel="0" collapsed="false">
      <c r="A1132" s="85" t="str">
        <f aca="false">Gov_Map!$H437&amp;""</f>
        <v>SRC_MOD_042</v>
      </c>
      <c r="B1132" s="66" t="s">
        <v>6791</v>
      </c>
      <c r="C1132" s="53" t="n">
        <v>437</v>
      </c>
      <c r="D1132" s="53" t="s">
        <v>6792</v>
      </c>
      <c r="E1132" s="53" t="s">
        <v>6792</v>
      </c>
      <c r="F1132" s="54" t="s">
        <v>587</v>
      </c>
    </row>
    <row r="1133" customFormat="false" ht="15" hidden="false" customHeight="false" outlineLevel="0" collapsed="false">
      <c r="A1133" s="85" t="str">
        <f aca="false">Gov_Map!$H438&amp;""</f>
        <v>SRC_MOD_036</v>
      </c>
      <c r="B1133" s="66" t="s">
        <v>6791</v>
      </c>
      <c r="C1133" s="53" t="n">
        <v>438</v>
      </c>
      <c r="D1133" s="53" t="s">
        <v>6792</v>
      </c>
      <c r="E1133" s="53" t="s">
        <v>6792</v>
      </c>
      <c r="F1133" s="54" t="s">
        <v>587</v>
      </c>
    </row>
    <row r="1134" customFormat="false" ht="15" hidden="false" customHeight="false" outlineLevel="0" collapsed="false">
      <c r="A1134" s="85" t="str">
        <f aca="false">Gov_Map!$H439&amp;""</f>
        <v>SRC_MOD_043</v>
      </c>
      <c r="B1134" s="66" t="s">
        <v>6791</v>
      </c>
      <c r="C1134" s="53" t="n">
        <v>439</v>
      </c>
      <c r="D1134" s="53" t="s">
        <v>6792</v>
      </c>
      <c r="E1134" s="53" t="s">
        <v>6792</v>
      </c>
      <c r="F1134" s="54" t="s">
        <v>587</v>
      </c>
    </row>
    <row r="1135" customFormat="false" ht="15" hidden="false" customHeight="false" outlineLevel="0" collapsed="false">
      <c r="A1135" s="85" t="str">
        <f aca="false">Gov_Map!$H440&amp;""</f>
        <v>—</v>
      </c>
      <c r="B1135" s="66" t="s">
        <v>6791</v>
      </c>
      <c r="C1135" s="53" t="n">
        <v>440</v>
      </c>
      <c r="D1135" s="53" t="s">
        <v>6792</v>
      </c>
      <c r="E1135" s="53" t="s">
        <v>6792</v>
      </c>
      <c r="F1135" s="54" t="s">
        <v>587</v>
      </c>
    </row>
    <row r="1136" customFormat="false" ht="15" hidden="false" customHeight="false" outlineLevel="0" collapsed="false">
      <c r="A1136" s="85" t="str">
        <f aca="false">Gov_Map!$H441&amp;""</f>
        <v>—</v>
      </c>
      <c r="B1136" s="66" t="s">
        <v>6791</v>
      </c>
      <c r="C1136" s="53" t="n">
        <v>441</v>
      </c>
      <c r="D1136" s="53" t="s">
        <v>6792</v>
      </c>
      <c r="E1136" s="53" t="s">
        <v>6792</v>
      </c>
      <c r="F1136" s="54" t="s">
        <v>587</v>
      </c>
    </row>
    <row r="1137" customFormat="false" ht="15" hidden="false" customHeight="false" outlineLevel="0" collapsed="false">
      <c r="A1137" s="85" t="str">
        <f aca="false">Gov_Map!$H442&amp;""</f>
        <v>—</v>
      </c>
      <c r="B1137" s="66" t="s">
        <v>6791</v>
      </c>
      <c r="C1137" s="53" t="n">
        <v>442</v>
      </c>
      <c r="D1137" s="53" t="s">
        <v>6792</v>
      </c>
      <c r="E1137" s="53" t="s">
        <v>6792</v>
      </c>
      <c r="F1137" s="54" t="s">
        <v>587</v>
      </c>
    </row>
    <row r="1138" customFormat="false" ht="15" hidden="false" customHeight="false" outlineLevel="0" collapsed="false">
      <c r="A1138" s="85" t="str">
        <f aca="false">Gov_Map!$H443&amp;""</f>
        <v>—</v>
      </c>
      <c r="B1138" s="66" t="s">
        <v>6791</v>
      </c>
      <c r="C1138" s="53" t="n">
        <v>443</v>
      </c>
      <c r="D1138" s="53" t="s">
        <v>6792</v>
      </c>
      <c r="E1138" s="53" t="s">
        <v>6792</v>
      </c>
      <c r="F1138" s="54" t="s">
        <v>587</v>
      </c>
    </row>
    <row r="1139" customFormat="false" ht="15" hidden="false" customHeight="false" outlineLevel="0" collapsed="false">
      <c r="A1139" s="85" t="str">
        <f aca="false">Gov_Map!$H444&amp;""</f>
        <v>—</v>
      </c>
      <c r="B1139" s="66" t="s">
        <v>6791</v>
      </c>
      <c r="C1139" s="53" t="n">
        <v>444</v>
      </c>
      <c r="D1139" s="53" t="s">
        <v>6792</v>
      </c>
      <c r="E1139" s="53" t="s">
        <v>6792</v>
      </c>
      <c r="F1139" s="54" t="s">
        <v>587</v>
      </c>
    </row>
    <row r="1140" customFormat="false" ht="15" hidden="false" customHeight="false" outlineLevel="0" collapsed="false">
      <c r="A1140" s="85" t="str">
        <f aca="false">Gov_Map!$H445&amp;""</f>
        <v>—</v>
      </c>
      <c r="B1140" s="66" t="s">
        <v>6791</v>
      </c>
      <c r="C1140" s="53" t="n">
        <v>445</v>
      </c>
      <c r="D1140" s="53" t="s">
        <v>6792</v>
      </c>
      <c r="E1140" s="53" t="s">
        <v>6792</v>
      </c>
      <c r="F1140" s="54" t="s">
        <v>587</v>
      </c>
    </row>
    <row r="1141" customFormat="false" ht="15" hidden="false" customHeight="false" outlineLevel="0" collapsed="false">
      <c r="A1141" s="85" t="str">
        <f aca="false">Gov_Map!$H446&amp;""</f>
        <v>—</v>
      </c>
      <c r="B1141" s="66" t="s">
        <v>6791</v>
      </c>
      <c r="C1141" s="53" t="n">
        <v>446</v>
      </c>
      <c r="D1141" s="53" t="s">
        <v>6792</v>
      </c>
      <c r="E1141" s="53" t="s">
        <v>6792</v>
      </c>
      <c r="F1141" s="54" t="s">
        <v>587</v>
      </c>
    </row>
    <row r="1142" customFormat="false" ht="15" hidden="false" customHeight="false" outlineLevel="0" collapsed="false">
      <c r="A1142" s="85" t="str">
        <f aca="false">Gov_Map!$H447&amp;""</f>
        <v>—</v>
      </c>
      <c r="B1142" s="66" t="s">
        <v>6791</v>
      </c>
      <c r="C1142" s="53" t="n">
        <v>447</v>
      </c>
      <c r="D1142" s="53" t="s">
        <v>6792</v>
      </c>
      <c r="E1142" s="53" t="s">
        <v>6792</v>
      </c>
      <c r="F1142" s="54" t="s">
        <v>587</v>
      </c>
    </row>
    <row r="1143" customFormat="false" ht="15" hidden="false" customHeight="false" outlineLevel="0" collapsed="false">
      <c r="A1143" s="85" t="str">
        <f aca="false">Gov_Map!$H448&amp;""</f>
        <v>—</v>
      </c>
      <c r="B1143" s="66" t="s">
        <v>6791</v>
      </c>
      <c r="C1143" s="53" t="n">
        <v>448</v>
      </c>
      <c r="D1143" s="53" t="s">
        <v>6792</v>
      </c>
      <c r="E1143" s="53" t="s">
        <v>6792</v>
      </c>
      <c r="F1143" s="54" t="s">
        <v>587</v>
      </c>
    </row>
    <row r="1144" customFormat="false" ht="15" hidden="false" customHeight="false" outlineLevel="0" collapsed="false">
      <c r="A1144" s="85" t="str">
        <f aca="false">Gov_Map!$H449&amp;""</f>
        <v>—</v>
      </c>
      <c r="B1144" s="66" t="s">
        <v>6791</v>
      </c>
      <c r="C1144" s="53" t="n">
        <v>449</v>
      </c>
      <c r="D1144" s="53" t="s">
        <v>6792</v>
      </c>
      <c r="E1144" s="53" t="s">
        <v>6792</v>
      </c>
      <c r="F1144" s="54" t="s">
        <v>587</v>
      </c>
    </row>
    <row r="1145" customFormat="false" ht="15" hidden="false" customHeight="false" outlineLevel="0" collapsed="false">
      <c r="A1145" s="85" t="str">
        <f aca="false">Gov_Map!$H450&amp;""</f>
        <v>—</v>
      </c>
      <c r="B1145" s="66" t="s">
        <v>6791</v>
      </c>
      <c r="C1145" s="53" t="n">
        <v>450</v>
      </c>
      <c r="D1145" s="53" t="s">
        <v>6792</v>
      </c>
      <c r="E1145" s="53" t="s">
        <v>6792</v>
      </c>
      <c r="F1145" s="54" t="s">
        <v>587</v>
      </c>
    </row>
    <row r="1146" customFormat="false" ht="15" hidden="false" customHeight="false" outlineLevel="0" collapsed="false">
      <c r="A1146" s="85" t="str">
        <f aca="false">Gov_Map!$H451&amp;""</f>
        <v>—</v>
      </c>
      <c r="B1146" s="66" t="s">
        <v>6791</v>
      </c>
      <c r="C1146" s="53" t="n">
        <v>451</v>
      </c>
      <c r="D1146" s="53" t="s">
        <v>6792</v>
      </c>
      <c r="E1146" s="53" t="s">
        <v>6792</v>
      </c>
      <c r="F1146" s="54" t="s">
        <v>587</v>
      </c>
    </row>
    <row r="1147" customFormat="false" ht="15" hidden="false" customHeight="false" outlineLevel="0" collapsed="false">
      <c r="A1147" s="85" t="str">
        <f aca="false">Gov_Map!$H452&amp;""</f>
        <v>—</v>
      </c>
      <c r="B1147" s="66" t="s">
        <v>6791</v>
      </c>
      <c r="C1147" s="53" t="n">
        <v>452</v>
      </c>
      <c r="D1147" s="53" t="s">
        <v>6792</v>
      </c>
      <c r="E1147" s="53" t="s">
        <v>6792</v>
      </c>
      <c r="F1147" s="54" t="s">
        <v>587</v>
      </c>
    </row>
    <row r="1148" customFormat="false" ht="15" hidden="false" customHeight="false" outlineLevel="0" collapsed="false">
      <c r="A1148" s="85" t="str">
        <f aca="false">Gov_Map!$H453&amp;""</f>
        <v>—</v>
      </c>
      <c r="B1148" s="66" t="s">
        <v>6791</v>
      </c>
      <c r="C1148" s="53" t="n">
        <v>453</v>
      </c>
      <c r="D1148" s="53" t="s">
        <v>6792</v>
      </c>
      <c r="E1148" s="53" t="s">
        <v>6792</v>
      </c>
      <c r="F1148" s="54" t="s">
        <v>587</v>
      </c>
    </row>
    <row r="1149" customFormat="false" ht="15" hidden="false" customHeight="false" outlineLevel="0" collapsed="false">
      <c r="A1149" s="85" t="str">
        <f aca="false">Gov_Map!$H454&amp;""</f>
        <v>—</v>
      </c>
      <c r="B1149" s="66" t="s">
        <v>6791</v>
      </c>
      <c r="C1149" s="53" t="n">
        <v>454</v>
      </c>
      <c r="D1149" s="53" t="s">
        <v>6792</v>
      </c>
      <c r="E1149" s="53" t="s">
        <v>6792</v>
      </c>
      <c r="F1149" s="54" t="s">
        <v>587</v>
      </c>
    </row>
    <row r="1150" customFormat="false" ht="15" hidden="false" customHeight="false" outlineLevel="0" collapsed="false">
      <c r="A1150" s="85" t="str">
        <f aca="false">Gov_Map!$H455&amp;""</f>
        <v>—</v>
      </c>
      <c r="B1150" s="66" t="s">
        <v>6791</v>
      </c>
      <c r="C1150" s="53" t="n">
        <v>455</v>
      </c>
      <c r="D1150" s="53" t="s">
        <v>6792</v>
      </c>
      <c r="E1150" s="53" t="s">
        <v>6792</v>
      </c>
      <c r="F1150" s="54" t="s">
        <v>587</v>
      </c>
    </row>
    <row r="1151" customFormat="false" ht="15" hidden="false" customHeight="false" outlineLevel="0" collapsed="false">
      <c r="A1151" s="85" t="str">
        <f aca="false">Gov_Map!$H456&amp;""</f>
        <v>—</v>
      </c>
      <c r="B1151" s="66" t="s">
        <v>6791</v>
      </c>
      <c r="C1151" s="53" t="n">
        <v>456</v>
      </c>
      <c r="D1151" s="53" t="s">
        <v>6792</v>
      </c>
      <c r="E1151" s="53" t="s">
        <v>6792</v>
      </c>
      <c r="F1151" s="54" t="s">
        <v>587</v>
      </c>
    </row>
    <row r="1152" customFormat="false" ht="15" hidden="false" customHeight="false" outlineLevel="0" collapsed="false">
      <c r="A1152" s="85" t="str">
        <f aca="false">Gov_Map!$H457&amp;""</f>
        <v>SRC_DEM_018</v>
      </c>
      <c r="B1152" s="66" t="s">
        <v>6791</v>
      </c>
      <c r="C1152" s="53" t="n">
        <v>457</v>
      </c>
      <c r="D1152" s="53" t="s">
        <v>6792</v>
      </c>
      <c r="E1152" s="53" t="s">
        <v>6792</v>
      </c>
      <c r="F1152" s="54" t="s">
        <v>587</v>
      </c>
    </row>
    <row r="1153" customFormat="false" ht="15" hidden="false" customHeight="false" outlineLevel="0" collapsed="false">
      <c r="A1153" s="85" t="str">
        <f aca="false">Gov_Map!$H458&amp;""</f>
        <v>—</v>
      </c>
      <c r="B1153" s="66" t="s">
        <v>6791</v>
      </c>
      <c r="C1153" s="53" t="n">
        <v>458</v>
      </c>
      <c r="D1153" s="53" t="s">
        <v>6792</v>
      </c>
      <c r="E1153" s="53" t="s">
        <v>6792</v>
      </c>
      <c r="F1153" s="54" t="s">
        <v>587</v>
      </c>
    </row>
    <row r="1154" customFormat="false" ht="15" hidden="false" customHeight="false" outlineLevel="0" collapsed="false">
      <c r="A1154" s="85" t="str">
        <f aca="false">Gov_Map!$H459&amp;""</f>
        <v>SRC_DEM_005</v>
      </c>
      <c r="B1154" s="66" t="s">
        <v>6791</v>
      </c>
      <c r="C1154" s="53" t="n">
        <v>459</v>
      </c>
      <c r="D1154" s="53" t="s">
        <v>6792</v>
      </c>
      <c r="E1154" s="53" t="s">
        <v>6792</v>
      </c>
      <c r="F1154" s="54" t="s">
        <v>587</v>
      </c>
    </row>
    <row r="1155" customFormat="false" ht="15" hidden="false" customHeight="false" outlineLevel="0" collapsed="false">
      <c r="A1155" s="85" t="str">
        <f aca="false">Gov_Map!$H460&amp;""</f>
        <v>—</v>
      </c>
      <c r="B1155" s="66" t="s">
        <v>6791</v>
      </c>
      <c r="C1155" s="53" t="n">
        <v>460</v>
      </c>
      <c r="D1155" s="53" t="s">
        <v>6792</v>
      </c>
      <c r="E1155" s="53" t="s">
        <v>6792</v>
      </c>
      <c r="F1155" s="54" t="s">
        <v>587</v>
      </c>
    </row>
    <row r="1156" customFormat="false" ht="15" hidden="false" customHeight="false" outlineLevel="0" collapsed="false">
      <c r="A1156" s="85" t="str">
        <f aca="false">Gov_Map!$H461&amp;""</f>
        <v>—</v>
      </c>
      <c r="B1156" s="66" t="s">
        <v>6791</v>
      </c>
      <c r="C1156" s="53" t="n">
        <v>461</v>
      </c>
      <c r="D1156" s="53" t="s">
        <v>6792</v>
      </c>
      <c r="E1156" s="53" t="s">
        <v>6792</v>
      </c>
      <c r="F1156" s="54" t="s">
        <v>587</v>
      </c>
    </row>
    <row r="1157" customFormat="false" ht="15" hidden="false" customHeight="false" outlineLevel="0" collapsed="false">
      <c r="A1157" s="85" t="str">
        <f aca="false">Gov_Map!$H462&amp;""</f>
        <v>—</v>
      </c>
      <c r="B1157" s="66" t="s">
        <v>6791</v>
      </c>
      <c r="C1157" s="53" t="n">
        <v>462</v>
      </c>
      <c r="D1157" s="53" t="s">
        <v>6792</v>
      </c>
      <c r="E1157" s="53" t="s">
        <v>6792</v>
      </c>
      <c r="F1157" s="54" t="s">
        <v>587</v>
      </c>
    </row>
    <row r="1158" customFormat="false" ht="15" hidden="false" customHeight="false" outlineLevel="0" collapsed="false">
      <c r="A1158" s="85" t="str">
        <f aca="false">Gov_Map!$H463&amp;""</f>
        <v>—</v>
      </c>
      <c r="B1158" s="66" t="s">
        <v>6791</v>
      </c>
      <c r="C1158" s="53" t="n">
        <v>463</v>
      </c>
      <c r="D1158" s="53" t="s">
        <v>6792</v>
      </c>
      <c r="E1158" s="53" t="s">
        <v>6792</v>
      </c>
      <c r="F1158" s="54" t="s">
        <v>587</v>
      </c>
    </row>
    <row r="1159" customFormat="false" ht="15" hidden="false" customHeight="false" outlineLevel="0" collapsed="false">
      <c r="A1159" s="85" t="str">
        <f aca="false">Gov_Map!$H464&amp;""</f>
        <v>—</v>
      </c>
      <c r="B1159" s="66" t="s">
        <v>6791</v>
      </c>
      <c r="C1159" s="53" t="n">
        <v>464</v>
      </c>
      <c r="D1159" s="53" t="s">
        <v>6792</v>
      </c>
      <c r="E1159" s="53" t="s">
        <v>6792</v>
      </c>
      <c r="F1159" s="54" t="s">
        <v>587</v>
      </c>
    </row>
    <row r="1160" customFormat="false" ht="15" hidden="false" customHeight="false" outlineLevel="0" collapsed="false">
      <c r="A1160" s="85" t="str">
        <f aca="false">Gov_Map!$H465&amp;""</f>
        <v>—</v>
      </c>
      <c r="B1160" s="66" t="s">
        <v>6791</v>
      </c>
      <c r="C1160" s="53" t="n">
        <v>465</v>
      </c>
      <c r="D1160" s="53" t="s">
        <v>6792</v>
      </c>
      <c r="E1160" s="53" t="s">
        <v>6792</v>
      </c>
      <c r="F1160" s="54" t="s">
        <v>587</v>
      </c>
    </row>
    <row r="1161" customFormat="false" ht="15" hidden="false" customHeight="false" outlineLevel="0" collapsed="false">
      <c r="A1161" s="85" t="str">
        <f aca="false">Gov_Map!$H466&amp;""</f>
        <v>—</v>
      </c>
      <c r="B1161" s="66" t="s">
        <v>6791</v>
      </c>
      <c r="C1161" s="53" t="n">
        <v>466</v>
      </c>
      <c r="D1161" s="53" t="s">
        <v>6792</v>
      </c>
      <c r="E1161" s="53" t="s">
        <v>6792</v>
      </c>
      <c r="F1161" s="54" t="s">
        <v>587</v>
      </c>
    </row>
    <row r="1162" customFormat="false" ht="15" hidden="false" customHeight="false" outlineLevel="0" collapsed="false">
      <c r="A1162" s="85" t="str">
        <f aca="false">Gov_Map!$H467&amp;""</f>
        <v>—</v>
      </c>
      <c r="B1162" s="66" t="s">
        <v>6791</v>
      </c>
      <c r="C1162" s="53" t="n">
        <v>467</v>
      </c>
      <c r="D1162" s="53" t="s">
        <v>6792</v>
      </c>
      <c r="E1162" s="53" t="s">
        <v>6792</v>
      </c>
      <c r="F1162" s="54" t="s">
        <v>587</v>
      </c>
    </row>
    <row r="1163" customFormat="false" ht="15" hidden="false" customHeight="false" outlineLevel="0" collapsed="false">
      <c r="A1163" s="85" t="str">
        <f aca="false">Gov_Map!$H468&amp;""</f>
        <v>—</v>
      </c>
      <c r="B1163" s="66" t="s">
        <v>6791</v>
      </c>
      <c r="C1163" s="53" t="n">
        <v>468</v>
      </c>
      <c r="D1163" s="53" t="s">
        <v>6792</v>
      </c>
      <c r="E1163" s="53" t="s">
        <v>6792</v>
      </c>
      <c r="F1163" s="54" t="s">
        <v>587</v>
      </c>
    </row>
    <row r="1164" customFormat="false" ht="15" hidden="false" customHeight="false" outlineLevel="0" collapsed="false">
      <c r="A1164" s="85" t="str">
        <f aca="false">Gov_Map!$H469&amp;""</f>
        <v>—</v>
      </c>
      <c r="B1164" s="66" t="s">
        <v>6791</v>
      </c>
      <c r="C1164" s="53" t="n">
        <v>469</v>
      </c>
      <c r="D1164" s="53" t="s">
        <v>6792</v>
      </c>
      <c r="E1164" s="53" t="s">
        <v>6792</v>
      </c>
      <c r="F1164" s="54" t="s">
        <v>587</v>
      </c>
    </row>
    <row r="1165" customFormat="false" ht="15" hidden="false" customHeight="false" outlineLevel="0" collapsed="false">
      <c r="A1165" s="85" t="str">
        <f aca="false">Gov_Map!$H470&amp;""</f>
        <v>—</v>
      </c>
      <c r="B1165" s="66" t="s">
        <v>6791</v>
      </c>
      <c r="C1165" s="53" t="n">
        <v>470</v>
      </c>
      <c r="D1165" s="53" t="s">
        <v>6792</v>
      </c>
      <c r="E1165" s="53" t="s">
        <v>6792</v>
      </c>
      <c r="F1165" s="54" t="s">
        <v>587</v>
      </c>
    </row>
    <row r="1166" customFormat="false" ht="15" hidden="false" customHeight="false" outlineLevel="0" collapsed="false">
      <c r="A1166" s="85" t="str">
        <f aca="false">Gov_Map!$H471&amp;""</f>
        <v>—</v>
      </c>
      <c r="B1166" s="66" t="s">
        <v>6791</v>
      </c>
      <c r="C1166" s="53" t="n">
        <v>471</v>
      </c>
      <c r="D1166" s="53" t="s">
        <v>6792</v>
      </c>
      <c r="E1166" s="53" t="s">
        <v>6792</v>
      </c>
      <c r="F1166" s="54" t="s">
        <v>587</v>
      </c>
    </row>
    <row r="1167" customFormat="false" ht="15" hidden="false" customHeight="false" outlineLevel="0" collapsed="false">
      <c r="A1167" s="85" t="str">
        <f aca="false">Gov_Map!$H472&amp;""</f>
        <v>—</v>
      </c>
      <c r="B1167" s="66" t="s">
        <v>6791</v>
      </c>
      <c r="C1167" s="53" t="n">
        <v>472</v>
      </c>
      <c r="D1167" s="53" t="s">
        <v>6792</v>
      </c>
      <c r="E1167" s="53" t="s">
        <v>6792</v>
      </c>
      <c r="F1167" s="54" t="s">
        <v>587</v>
      </c>
    </row>
    <row r="1168" customFormat="false" ht="15" hidden="false" customHeight="false" outlineLevel="0" collapsed="false">
      <c r="A1168" s="85" t="str">
        <f aca="false">Gov_Map!$H473&amp;""</f>
        <v>—</v>
      </c>
      <c r="B1168" s="66" t="s">
        <v>6791</v>
      </c>
      <c r="C1168" s="53" t="n">
        <v>473</v>
      </c>
      <c r="D1168" s="53" t="s">
        <v>6792</v>
      </c>
      <c r="E1168" s="53" t="s">
        <v>6792</v>
      </c>
      <c r="F1168" s="54" t="s">
        <v>587</v>
      </c>
    </row>
    <row r="1169" customFormat="false" ht="15" hidden="false" customHeight="false" outlineLevel="0" collapsed="false">
      <c r="A1169" s="85" t="str">
        <f aca="false">Gov_Map!$H474&amp;""</f>
        <v>—</v>
      </c>
      <c r="B1169" s="66" t="s">
        <v>6791</v>
      </c>
      <c r="C1169" s="53" t="n">
        <v>474</v>
      </c>
      <c r="D1169" s="53" t="s">
        <v>6792</v>
      </c>
      <c r="E1169" s="53" t="s">
        <v>6792</v>
      </c>
      <c r="F1169" s="54" t="s">
        <v>587</v>
      </c>
    </row>
    <row r="1170" customFormat="false" ht="15" hidden="false" customHeight="false" outlineLevel="0" collapsed="false">
      <c r="A1170" s="85" t="str">
        <f aca="false">Gov_Map!$H475&amp;""</f>
        <v>—</v>
      </c>
      <c r="B1170" s="66" t="s">
        <v>6791</v>
      </c>
      <c r="C1170" s="53" t="n">
        <v>475</v>
      </c>
      <c r="D1170" s="53" t="s">
        <v>6792</v>
      </c>
      <c r="E1170" s="53" t="s">
        <v>6792</v>
      </c>
      <c r="F1170" s="54" t="s">
        <v>587</v>
      </c>
    </row>
    <row r="1171" customFormat="false" ht="15" hidden="false" customHeight="false" outlineLevel="0" collapsed="false">
      <c r="A1171" s="85" t="str">
        <f aca="false">Gov_Map!$H476&amp;""</f>
        <v>—</v>
      </c>
      <c r="B1171" s="66" t="s">
        <v>6791</v>
      </c>
      <c r="C1171" s="53" t="n">
        <v>476</v>
      </c>
      <c r="D1171" s="53" t="s">
        <v>6792</v>
      </c>
      <c r="E1171" s="53" t="s">
        <v>6792</v>
      </c>
      <c r="F1171" s="54" t="s">
        <v>587</v>
      </c>
    </row>
    <row r="1172" customFormat="false" ht="15" hidden="false" customHeight="false" outlineLevel="0" collapsed="false">
      <c r="A1172" s="85" t="str">
        <f aca="false">Gov_Map!$H477&amp;""</f>
        <v>SRC_PRC_027</v>
      </c>
      <c r="B1172" s="66" t="s">
        <v>6791</v>
      </c>
      <c r="C1172" s="53" t="n">
        <v>477</v>
      </c>
      <c r="D1172" s="53" t="s">
        <v>6792</v>
      </c>
      <c r="E1172" s="53" t="s">
        <v>6792</v>
      </c>
      <c r="F1172" s="54" t="s">
        <v>587</v>
      </c>
    </row>
    <row r="1173" customFormat="false" ht="15" hidden="false" customHeight="false" outlineLevel="0" collapsed="false">
      <c r="A1173" s="85" t="str">
        <f aca="false">Gov_Map!$H478&amp;""</f>
        <v>—</v>
      </c>
      <c r="B1173" s="66" t="s">
        <v>6791</v>
      </c>
      <c r="C1173" s="53" t="n">
        <v>478</v>
      </c>
      <c r="D1173" s="53" t="s">
        <v>6792</v>
      </c>
      <c r="E1173" s="53" t="s">
        <v>6792</v>
      </c>
      <c r="F1173" s="54" t="s">
        <v>587</v>
      </c>
    </row>
    <row r="1174" customFormat="false" ht="15" hidden="false" customHeight="false" outlineLevel="0" collapsed="false">
      <c r="A1174" s="85" t="str">
        <f aca="false">Gov_Map!$H479&amp;""</f>
        <v>—</v>
      </c>
      <c r="B1174" s="66" t="s">
        <v>6791</v>
      </c>
      <c r="C1174" s="53" t="n">
        <v>479</v>
      </c>
      <c r="D1174" s="53" t="s">
        <v>6792</v>
      </c>
      <c r="E1174" s="53" t="s">
        <v>6792</v>
      </c>
      <c r="F1174" s="54" t="s">
        <v>587</v>
      </c>
    </row>
    <row r="1175" customFormat="false" ht="15" hidden="false" customHeight="false" outlineLevel="0" collapsed="false">
      <c r="A1175" s="85" t="str">
        <f aca="false">Gov_Map!$H480&amp;""</f>
        <v>—</v>
      </c>
      <c r="B1175" s="66" t="s">
        <v>6791</v>
      </c>
      <c r="C1175" s="53" t="n">
        <v>480</v>
      </c>
      <c r="D1175" s="53" t="s">
        <v>6792</v>
      </c>
      <c r="E1175" s="53" t="s">
        <v>6792</v>
      </c>
      <c r="F1175" s="54" t="s">
        <v>587</v>
      </c>
    </row>
    <row r="1176" customFormat="false" ht="15" hidden="false" customHeight="false" outlineLevel="0" collapsed="false">
      <c r="A1176" s="85" t="str">
        <f aca="false">Gov_Map!$H481&amp;""</f>
        <v>SRC_CAP_007</v>
      </c>
      <c r="B1176" s="66" t="s">
        <v>6791</v>
      </c>
      <c r="C1176" s="53" t="n">
        <v>481</v>
      </c>
      <c r="D1176" s="53" t="s">
        <v>6792</v>
      </c>
      <c r="E1176" s="53" t="s">
        <v>6792</v>
      </c>
      <c r="F1176" s="54" t="s">
        <v>587</v>
      </c>
    </row>
    <row r="1177" customFormat="false" ht="15" hidden="false" customHeight="false" outlineLevel="0" collapsed="false">
      <c r="A1177" s="85" t="str">
        <f aca="false">Gov_Map!$H482&amp;""</f>
        <v>SRC_CAP_006</v>
      </c>
      <c r="B1177" s="66" t="s">
        <v>6791</v>
      </c>
      <c r="C1177" s="53" t="n">
        <v>482</v>
      </c>
      <c r="D1177" s="53" t="s">
        <v>6792</v>
      </c>
      <c r="E1177" s="53" t="s">
        <v>6792</v>
      </c>
      <c r="F1177" s="54" t="s">
        <v>587</v>
      </c>
    </row>
    <row r="1178" customFormat="false" ht="15" hidden="false" customHeight="false" outlineLevel="0" collapsed="false">
      <c r="A1178" s="85" t="str">
        <f aca="false">Gov_Map!$H483&amp;""</f>
        <v>—</v>
      </c>
      <c r="B1178" s="66" t="s">
        <v>6791</v>
      </c>
      <c r="C1178" s="53" t="n">
        <v>483</v>
      </c>
      <c r="D1178" s="53" t="s">
        <v>6792</v>
      </c>
      <c r="E1178" s="53" t="s">
        <v>6792</v>
      </c>
      <c r="F1178" s="54" t="s">
        <v>587</v>
      </c>
    </row>
    <row r="1179" customFormat="false" ht="15" hidden="false" customHeight="false" outlineLevel="0" collapsed="false">
      <c r="A1179" s="85" t="str">
        <f aca="false">Gov_Map!$H484&amp;""</f>
        <v>—</v>
      </c>
      <c r="B1179" s="66" t="s">
        <v>6791</v>
      </c>
      <c r="C1179" s="53" t="n">
        <v>484</v>
      </c>
      <c r="D1179" s="53" t="s">
        <v>6792</v>
      </c>
      <c r="E1179" s="53" t="s">
        <v>6792</v>
      </c>
      <c r="F1179" s="54" t="s">
        <v>587</v>
      </c>
    </row>
    <row r="1180" customFormat="false" ht="15" hidden="false" customHeight="false" outlineLevel="0" collapsed="false">
      <c r="A1180" s="85" t="str">
        <f aca="false">Gov_Map!$H485&amp;""</f>
        <v>—</v>
      </c>
      <c r="B1180" s="66" t="s">
        <v>6791</v>
      </c>
      <c r="C1180" s="53" t="n">
        <v>485</v>
      </c>
      <c r="D1180" s="53" t="s">
        <v>6792</v>
      </c>
      <c r="E1180" s="53" t="s">
        <v>6792</v>
      </c>
      <c r="F1180" s="54" t="s">
        <v>587</v>
      </c>
    </row>
    <row r="1181" customFormat="false" ht="15" hidden="false" customHeight="false" outlineLevel="0" collapsed="false">
      <c r="A1181" s="85" t="str">
        <f aca="false">Gov_Map!$H486&amp;""</f>
        <v>—</v>
      </c>
      <c r="B1181" s="66" t="s">
        <v>6791</v>
      </c>
      <c r="C1181" s="53" t="n">
        <v>486</v>
      </c>
      <c r="D1181" s="53" t="s">
        <v>6792</v>
      </c>
      <c r="E1181" s="53" t="s">
        <v>6792</v>
      </c>
      <c r="F1181" s="54" t="s">
        <v>587</v>
      </c>
    </row>
    <row r="1182" customFormat="false" ht="15" hidden="false" customHeight="false" outlineLevel="0" collapsed="false">
      <c r="A1182" s="85" t="str">
        <f aca="false">Gov_Map!$H487&amp;""</f>
        <v>—</v>
      </c>
      <c r="B1182" s="66" t="s">
        <v>6791</v>
      </c>
      <c r="C1182" s="53" t="n">
        <v>487</v>
      </c>
      <c r="D1182" s="53" t="s">
        <v>6792</v>
      </c>
      <c r="E1182" s="53" t="s">
        <v>6792</v>
      </c>
      <c r="F1182" s="54" t="s">
        <v>587</v>
      </c>
    </row>
    <row r="1183" customFormat="false" ht="15" hidden="false" customHeight="false" outlineLevel="0" collapsed="false">
      <c r="A1183" s="85" t="str">
        <f aca="false">Gov_Map!$H488&amp;""</f>
        <v>—</v>
      </c>
      <c r="B1183" s="66" t="s">
        <v>6791</v>
      </c>
      <c r="C1183" s="53" t="n">
        <v>488</v>
      </c>
      <c r="D1183" s="53" t="s">
        <v>6792</v>
      </c>
      <c r="E1183" s="53" t="s">
        <v>6792</v>
      </c>
      <c r="F1183" s="54" t="s">
        <v>587</v>
      </c>
    </row>
    <row r="1184" customFormat="false" ht="15" hidden="false" customHeight="false" outlineLevel="0" collapsed="false">
      <c r="A1184" s="85" t="str">
        <f aca="false">Gov_Map!$H489&amp;""</f>
        <v>—</v>
      </c>
      <c r="B1184" s="66" t="s">
        <v>6791</v>
      </c>
      <c r="C1184" s="53" t="n">
        <v>489</v>
      </c>
      <c r="D1184" s="53" t="s">
        <v>6792</v>
      </c>
      <c r="E1184" s="53" t="s">
        <v>6792</v>
      </c>
      <c r="F1184" s="54" t="s">
        <v>587</v>
      </c>
    </row>
    <row r="1185" customFormat="false" ht="15" hidden="false" customHeight="false" outlineLevel="0" collapsed="false">
      <c r="A1185" s="85" t="str">
        <f aca="false">Gov_Map!$H490&amp;""</f>
        <v>—</v>
      </c>
      <c r="B1185" s="66" t="s">
        <v>6791</v>
      </c>
      <c r="C1185" s="53" t="n">
        <v>490</v>
      </c>
      <c r="D1185" s="53" t="s">
        <v>6792</v>
      </c>
      <c r="E1185" s="53" t="s">
        <v>6792</v>
      </c>
      <c r="F1185" s="54" t="s">
        <v>587</v>
      </c>
    </row>
    <row r="1186" customFormat="false" ht="15" hidden="false" customHeight="false" outlineLevel="0" collapsed="false">
      <c r="A1186" s="85" t="str">
        <f aca="false">Gov_Map!$H491&amp;""</f>
        <v>—</v>
      </c>
      <c r="B1186" s="66" t="s">
        <v>6791</v>
      </c>
      <c r="C1186" s="53" t="n">
        <v>491</v>
      </c>
      <c r="D1186" s="53" t="s">
        <v>6792</v>
      </c>
      <c r="E1186" s="53" t="s">
        <v>6792</v>
      </c>
      <c r="F1186" s="54" t="s">
        <v>587</v>
      </c>
    </row>
    <row r="1187" customFormat="false" ht="15" hidden="false" customHeight="false" outlineLevel="0" collapsed="false">
      <c r="A1187" s="85" t="str">
        <f aca="false">Gov_Map!$H492&amp;""</f>
        <v>SRC_HAR_003</v>
      </c>
      <c r="B1187" s="66" t="s">
        <v>6791</v>
      </c>
      <c r="C1187" s="53" t="n">
        <v>492</v>
      </c>
      <c r="D1187" s="53" t="s">
        <v>6792</v>
      </c>
      <c r="E1187" s="53" t="s">
        <v>6792</v>
      </c>
      <c r="F1187" s="54" t="s">
        <v>587</v>
      </c>
    </row>
    <row r="1188" customFormat="false" ht="15" hidden="false" customHeight="false" outlineLevel="0" collapsed="false">
      <c r="A1188" s="85" t="str">
        <f aca="false">Gov_Map!$H493&amp;""</f>
        <v>—</v>
      </c>
      <c r="B1188" s="66" t="s">
        <v>6791</v>
      </c>
      <c r="C1188" s="53" t="n">
        <v>493</v>
      </c>
      <c r="D1188" s="53" t="s">
        <v>6792</v>
      </c>
      <c r="E1188" s="53" t="s">
        <v>6792</v>
      </c>
      <c r="F1188" s="54" t="s">
        <v>587</v>
      </c>
    </row>
    <row r="1189" customFormat="false" ht="15" hidden="false" customHeight="false" outlineLevel="0" collapsed="false">
      <c r="A1189" s="85" t="str">
        <f aca="false">Gov_Map!$H494&amp;""</f>
        <v>—</v>
      </c>
      <c r="B1189" s="66" t="s">
        <v>6791</v>
      </c>
      <c r="C1189" s="53" t="n">
        <v>494</v>
      </c>
      <c r="D1189" s="53" t="s">
        <v>6792</v>
      </c>
      <c r="E1189" s="53" t="s">
        <v>6792</v>
      </c>
      <c r="F1189" s="54" t="s">
        <v>587</v>
      </c>
    </row>
    <row r="1190" customFormat="false" ht="15" hidden="false" customHeight="false" outlineLevel="0" collapsed="false">
      <c r="A1190" s="85" t="str">
        <f aca="false">Gov_Map!$H495&amp;""</f>
        <v>—</v>
      </c>
      <c r="B1190" s="66" t="s">
        <v>6791</v>
      </c>
      <c r="C1190" s="53" t="n">
        <v>495</v>
      </c>
      <c r="D1190" s="53" t="s">
        <v>6792</v>
      </c>
      <c r="E1190" s="53" t="s">
        <v>6792</v>
      </c>
      <c r="F1190" s="54" t="s">
        <v>587</v>
      </c>
    </row>
    <row r="1191" customFormat="false" ht="15" hidden="false" customHeight="false" outlineLevel="0" collapsed="false">
      <c r="A1191" s="85" t="str">
        <f aca="false">Gov_Map!$H496&amp;""</f>
        <v>—</v>
      </c>
      <c r="B1191" s="66" t="s">
        <v>6791</v>
      </c>
      <c r="C1191" s="53" t="n">
        <v>496</v>
      </c>
      <c r="D1191" s="53" t="s">
        <v>6792</v>
      </c>
      <c r="E1191" s="53" t="s">
        <v>6792</v>
      </c>
      <c r="F1191" s="54" t="s">
        <v>587</v>
      </c>
    </row>
    <row r="1192" customFormat="false" ht="15" hidden="false" customHeight="false" outlineLevel="0" collapsed="false">
      <c r="A1192" s="85" t="str">
        <f aca="false">Gov_Map!$H497&amp;""</f>
        <v>—</v>
      </c>
      <c r="B1192" s="66" t="s">
        <v>6791</v>
      </c>
      <c r="C1192" s="53" t="n">
        <v>497</v>
      </c>
      <c r="D1192" s="53" t="s">
        <v>6792</v>
      </c>
      <c r="E1192" s="53" t="s">
        <v>6792</v>
      </c>
      <c r="F1192" s="54" t="s">
        <v>587</v>
      </c>
    </row>
    <row r="1193" customFormat="false" ht="15" hidden="false" customHeight="false" outlineLevel="0" collapsed="false">
      <c r="A1193" s="85" t="str">
        <f aca="false">Gov_Map!$H498&amp;""</f>
        <v>—</v>
      </c>
      <c r="B1193" s="66" t="s">
        <v>6791</v>
      </c>
      <c r="C1193" s="53" t="n">
        <v>498</v>
      </c>
      <c r="D1193" s="53" t="s">
        <v>6792</v>
      </c>
      <c r="E1193" s="53" t="s">
        <v>6792</v>
      </c>
      <c r="F1193" s="54" t="s">
        <v>587</v>
      </c>
    </row>
    <row r="1194" customFormat="false" ht="15" hidden="false" customHeight="false" outlineLevel="0" collapsed="false">
      <c r="A1194" s="85" t="str">
        <f aca="false">Gov_Map!$H499&amp;""</f>
        <v>—</v>
      </c>
      <c r="B1194" s="66" t="s">
        <v>6791</v>
      </c>
      <c r="C1194" s="53" t="n">
        <v>499</v>
      </c>
      <c r="D1194" s="53" t="s">
        <v>6792</v>
      </c>
      <c r="E1194" s="53" t="s">
        <v>6792</v>
      </c>
      <c r="F1194" s="54" t="s">
        <v>587</v>
      </c>
    </row>
    <row r="1195" customFormat="false" ht="15" hidden="false" customHeight="false" outlineLevel="0" collapsed="false">
      <c r="A1195" s="85" t="str">
        <f aca="false">Gov_Map!$H500&amp;""</f>
        <v>—</v>
      </c>
      <c r="B1195" s="66" t="s">
        <v>6791</v>
      </c>
      <c r="C1195" s="53" t="n">
        <v>500</v>
      </c>
      <c r="D1195" s="53" t="s">
        <v>6792</v>
      </c>
      <c r="E1195" s="53" t="s">
        <v>6792</v>
      </c>
      <c r="F1195" s="54" t="s">
        <v>587</v>
      </c>
    </row>
    <row r="1196" customFormat="false" ht="15" hidden="false" customHeight="false" outlineLevel="0" collapsed="false">
      <c r="A1196" s="85" t="str">
        <f aca="false">Gov_Map!$H501&amp;""</f>
        <v>—</v>
      </c>
      <c r="B1196" s="66" t="s">
        <v>6791</v>
      </c>
      <c r="C1196" s="53" t="n">
        <v>501</v>
      </c>
      <c r="D1196" s="53" t="s">
        <v>6792</v>
      </c>
      <c r="E1196" s="53" t="s">
        <v>6792</v>
      </c>
      <c r="F1196" s="54" t="s">
        <v>587</v>
      </c>
    </row>
    <row r="1197" customFormat="false" ht="15" hidden="false" customHeight="false" outlineLevel="0" collapsed="false">
      <c r="A1197" s="85" t="str">
        <f aca="false">Gov_Map!$H502&amp;""</f>
        <v>SRC_HAR_002</v>
      </c>
      <c r="B1197" s="66" t="s">
        <v>6791</v>
      </c>
      <c r="C1197" s="53" t="n">
        <v>502</v>
      </c>
      <c r="D1197" s="53" t="s">
        <v>6792</v>
      </c>
      <c r="E1197" s="53" t="s">
        <v>6792</v>
      </c>
      <c r="F1197" s="54" t="s">
        <v>587</v>
      </c>
    </row>
    <row r="1198" customFormat="false" ht="15" hidden="false" customHeight="false" outlineLevel="0" collapsed="false">
      <c r="A1198" s="85" t="str">
        <f aca="false">Gov_Map!$H503&amp;""</f>
        <v>SRC_CAP_020</v>
      </c>
      <c r="B1198" s="66" t="s">
        <v>6791</v>
      </c>
      <c r="C1198" s="53" t="n">
        <v>503</v>
      </c>
      <c r="D1198" s="53" t="s">
        <v>6792</v>
      </c>
      <c r="E1198" s="53" t="s">
        <v>6792</v>
      </c>
      <c r="F1198" s="54" t="s">
        <v>587</v>
      </c>
    </row>
    <row r="1199" customFormat="false" ht="15" hidden="false" customHeight="false" outlineLevel="0" collapsed="false">
      <c r="A1199" s="85" t="str">
        <f aca="false">Gov_Map!$H504&amp;""</f>
        <v>SRC_CAP_020</v>
      </c>
      <c r="B1199" s="66" t="s">
        <v>6791</v>
      </c>
      <c r="C1199" s="53" t="n">
        <v>504</v>
      </c>
      <c r="D1199" s="53" t="s">
        <v>6792</v>
      </c>
      <c r="E1199" s="53" t="s">
        <v>6792</v>
      </c>
      <c r="F1199" s="54" t="s">
        <v>587</v>
      </c>
    </row>
    <row r="1200" customFormat="false" ht="15" hidden="false" customHeight="false" outlineLevel="0" collapsed="false">
      <c r="A1200" s="85" t="str">
        <f aca="false">Gov_Map!$H505&amp;""</f>
        <v>SRC_CAP_021</v>
      </c>
      <c r="B1200" s="66" t="s">
        <v>6791</v>
      </c>
      <c r="C1200" s="53" t="n">
        <v>505</v>
      </c>
      <c r="D1200" s="53" t="s">
        <v>6792</v>
      </c>
      <c r="E1200" s="53" t="s">
        <v>6792</v>
      </c>
      <c r="F1200" s="54" t="s">
        <v>587</v>
      </c>
    </row>
    <row r="1201" customFormat="false" ht="15" hidden="false" customHeight="false" outlineLevel="0" collapsed="false">
      <c r="A1201" s="85" t="str">
        <f aca="false">Gov_Map!$H506&amp;""</f>
        <v>SRC_CAP_012</v>
      </c>
      <c r="B1201" s="66" t="s">
        <v>6791</v>
      </c>
      <c r="C1201" s="53" t="n">
        <v>506</v>
      </c>
      <c r="D1201" s="53" t="s">
        <v>6792</v>
      </c>
      <c r="E1201" s="53" t="s">
        <v>6792</v>
      </c>
      <c r="F1201" s="54" t="s">
        <v>587</v>
      </c>
    </row>
    <row r="1202" customFormat="false" ht="15" hidden="false" customHeight="false" outlineLevel="0" collapsed="false">
      <c r="A1202" s="85" t="str">
        <f aca="false">Gov_Map!$H507&amp;""</f>
        <v>SRC_CAP_012</v>
      </c>
      <c r="B1202" s="66" t="s">
        <v>6791</v>
      </c>
      <c r="C1202" s="53" t="n">
        <v>507</v>
      </c>
      <c r="D1202" s="53" t="s">
        <v>6792</v>
      </c>
      <c r="E1202" s="53" t="s">
        <v>6792</v>
      </c>
      <c r="F1202" s="54" t="s">
        <v>587</v>
      </c>
    </row>
    <row r="1203" customFormat="false" ht="15" hidden="false" customHeight="false" outlineLevel="0" collapsed="false">
      <c r="A1203" s="85" t="str">
        <f aca="false">Gov_Map!$H508&amp;""</f>
        <v>—</v>
      </c>
      <c r="B1203" s="66" t="s">
        <v>6791</v>
      </c>
      <c r="C1203" s="53" t="n">
        <v>508</v>
      </c>
      <c r="D1203" s="53" t="s">
        <v>6792</v>
      </c>
      <c r="E1203" s="53" t="s">
        <v>6792</v>
      </c>
      <c r="F1203" s="54" t="s">
        <v>587</v>
      </c>
    </row>
    <row r="1204" customFormat="false" ht="15" hidden="false" customHeight="false" outlineLevel="0" collapsed="false">
      <c r="A1204" s="85" t="str">
        <f aca="false">Gov_Map!$H509&amp;""</f>
        <v>—</v>
      </c>
      <c r="B1204" s="66" t="s">
        <v>6791</v>
      </c>
      <c r="C1204" s="53" t="n">
        <v>509</v>
      </c>
      <c r="D1204" s="53" t="s">
        <v>6792</v>
      </c>
      <c r="E1204" s="53" t="s">
        <v>6792</v>
      </c>
      <c r="F1204" s="54" t="s">
        <v>587</v>
      </c>
    </row>
    <row r="1205" customFormat="false" ht="15" hidden="false" customHeight="false" outlineLevel="0" collapsed="false">
      <c r="A1205" s="85" t="str">
        <f aca="false">Gov_Map!$H510&amp;""</f>
        <v>—</v>
      </c>
      <c r="B1205" s="66" t="s">
        <v>6791</v>
      </c>
      <c r="C1205" s="53" t="n">
        <v>510</v>
      </c>
      <c r="D1205" s="53" t="s">
        <v>6792</v>
      </c>
      <c r="E1205" s="53" t="s">
        <v>6792</v>
      </c>
      <c r="F1205" s="54" t="s">
        <v>587</v>
      </c>
    </row>
    <row r="1206" customFormat="false" ht="15" hidden="false" customHeight="false" outlineLevel="0" collapsed="false">
      <c r="A1206" s="85" t="str">
        <f aca="false">Gov_Map!$H511&amp;""</f>
        <v>—</v>
      </c>
      <c r="B1206" s="66" t="s">
        <v>6791</v>
      </c>
      <c r="C1206" s="53" t="n">
        <v>511</v>
      </c>
      <c r="D1206" s="53" t="s">
        <v>6792</v>
      </c>
      <c r="E1206" s="53" t="s">
        <v>6792</v>
      </c>
      <c r="F1206" s="54" t="s">
        <v>587</v>
      </c>
    </row>
    <row r="1207" customFormat="false" ht="15" hidden="false" customHeight="false" outlineLevel="0" collapsed="false">
      <c r="A1207" s="85" t="str">
        <f aca="false">Gov_Map!$H512&amp;""</f>
        <v>SRC_HW_037</v>
      </c>
      <c r="B1207" s="66" t="s">
        <v>6791</v>
      </c>
      <c r="C1207" s="53" t="n">
        <v>512</v>
      </c>
      <c r="D1207" s="53" t="s">
        <v>6792</v>
      </c>
      <c r="E1207" s="53" t="s">
        <v>6792</v>
      </c>
      <c r="F1207" s="54" t="s">
        <v>587</v>
      </c>
    </row>
    <row r="1208" customFormat="false" ht="15" hidden="false" customHeight="false" outlineLevel="0" collapsed="false">
      <c r="A1208" s="85" t="str">
        <f aca="false">Gov_Map!$H513&amp;""</f>
        <v>—</v>
      </c>
      <c r="B1208" s="66" t="s">
        <v>6791</v>
      </c>
      <c r="C1208" s="53" t="n">
        <v>513</v>
      </c>
      <c r="D1208" s="53" t="s">
        <v>6792</v>
      </c>
      <c r="E1208" s="53" t="s">
        <v>6792</v>
      </c>
      <c r="F1208" s="54" t="s">
        <v>587</v>
      </c>
    </row>
    <row r="1209" customFormat="false" ht="15" hidden="false" customHeight="false" outlineLevel="0" collapsed="false">
      <c r="A1209" s="85" t="str">
        <f aca="false">Gov_Map!$H514&amp;""</f>
        <v>—</v>
      </c>
      <c r="B1209" s="66" t="s">
        <v>6791</v>
      </c>
      <c r="C1209" s="53" t="n">
        <v>514</v>
      </c>
      <c r="D1209" s="53" t="s">
        <v>6792</v>
      </c>
      <c r="E1209" s="53" t="s">
        <v>6792</v>
      </c>
      <c r="F1209" s="54" t="s">
        <v>587</v>
      </c>
    </row>
    <row r="1210" customFormat="false" ht="15" hidden="false" customHeight="false" outlineLevel="0" collapsed="false">
      <c r="A1210" s="85" t="str">
        <f aca="false">Gov_Map!$H515&amp;""</f>
        <v>SRC_MOD_046</v>
      </c>
      <c r="B1210" s="66" t="s">
        <v>6791</v>
      </c>
      <c r="C1210" s="53" t="n">
        <v>515</v>
      </c>
      <c r="D1210" s="53" t="s">
        <v>6792</v>
      </c>
      <c r="E1210" s="53" t="s">
        <v>6792</v>
      </c>
      <c r="F1210" s="54" t="s">
        <v>587</v>
      </c>
    </row>
    <row r="1211" customFormat="false" ht="15" hidden="false" customHeight="false" outlineLevel="0" collapsed="false">
      <c r="A1211" s="85" t="str">
        <f aca="false">Gov_Map!$H516&amp;""</f>
        <v>—</v>
      </c>
      <c r="B1211" s="66" t="s">
        <v>6791</v>
      </c>
      <c r="C1211" s="53" t="n">
        <v>516</v>
      </c>
      <c r="D1211" s="53" t="s">
        <v>6792</v>
      </c>
      <c r="E1211" s="53" t="s">
        <v>6792</v>
      </c>
      <c r="F1211" s="54" t="s">
        <v>587</v>
      </c>
    </row>
    <row r="1212" customFormat="false" ht="15" hidden="false" customHeight="false" outlineLevel="0" collapsed="false">
      <c r="A1212" s="85" t="str">
        <f aca="false">Gov_Map!$H517&amp;""</f>
        <v>—</v>
      </c>
      <c r="B1212" s="66" t="s">
        <v>6791</v>
      </c>
      <c r="C1212" s="53" t="n">
        <v>517</v>
      </c>
      <c r="D1212" s="53" t="s">
        <v>6792</v>
      </c>
      <c r="E1212" s="53" t="s">
        <v>6792</v>
      </c>
      <c r="F1212" s="54" t="s">
        <v>587</v>
      </c>
    </row>
    <row r="1213" customFormat="false" ht="15" hidden="false" customHeight="false" outlineLevel="0" collapsed="false">
      <c r="A1213" s="85" t="str">
        <f aca="false">Gov_Map!$H518&amp;""</f>
        <v>—</v>
      </c>
      <c r="B1213" s="66" t="s">
        <v>6791</v>
      </c>
      <c r="C1213" s="53" t="n">
        <v>518</v>
      </c>
      <c r="D1213" s="53" t="s">
        <v>6792</v>
      </c>
      <c r="E1213" s="53" t="s">
        <v>6792</v>
      </c>
      <c r="F1213" s="54" t="s">
        <v>587</v>
      </c>
    </row>
    <row r="1214" customFormat="false" ht="15" hidden="false" customHeight="false" outlineLevel="0" collapsed="false">
      <c r="A1214" s="85" t="str">
        <f aca="false">Gov_Map!$H519&amp;""</f>
        <v>—</v>
      </c>
      <c r="B1214" s="66" t="s">
        <v>6791</v>
      </c>
      <c r="C1214" s="53" t="n">
        <v>519</v>
      </c>
      <c r="D1214" s="53" t="s">
        <v>6792</v>
      </c>
      <c r="E1214" s="53" t="s">
        <v>6792</v>
      </c>
      <c r="F1214" s="54" t="s">
        <v>587</v>
      </c>
    </row>
    <row r="1215" customFormat="false" ht="15" hidden="false" customHeight="false" outlineLevel="0" collapsed="false">
      <c r="A1215" s="85" t="str">
        <f aca="false">Gov_Map!$H520&amp;""</f>
        <v>—</v>
      </c>
      <c r="B1215" s="66" t="s">
        <v>6791</v>
      </c>
      <c r="C1215" s="53" t="n">
        <v>520</v>
      </c>
      <c r="D1215" s="53" t="s">
        <v>6792</v>
      </c>
      <c r="E1215" s="53" t="s">
        <v>6792</v>
      </c>
      <c r="F1215" s="54" t="s">
        <v>587</v>
      </c>
    </row>
    <row r="1216" customFormat="false" ht="15" hidden="false" customHeight="false" outlineLevel="0" collapsed="false">
      <c r="A1216" s="85" t="str">
        <f aca="false">Gov_Map!$H521&amp;""</f>
        <v>—</v>
      </c>
      <c r="B1216" s="66" t="s">
        <v>6791</v>
      </c>
      <c r="C1216" s="53" t="n">
        <v>521</v>
      </c>
      <c r="D1216" s="53" t="s">
        <v>6792</v>
      </c>
      <c r="E1216" s="53" t="s">
        <v>6792</v>
      </c>
      <c r="F1216" s="54" t="s">
        <v>587</v>
      </c>
    </row>
    <row r="1217" customFormat="false" ht="15" hidden="false" customHeight="false" outlineLevel="0" collapsed="false">
      <c r="A1217" s="85" t="str">
        <f aca="false">Gov_Map!$H522&amp;""</f>
        <v>—</v>
      </c>
      <c r="B1217" s="66" t="s">
        <v>6791</v>
      </c>
      <c r="C1217" s="53" t="n">
        <v>522</v>
      </c>
      <c r="D1217" s="53" t="s">
        <v>6792</v>
      </c>
      <c r="E1217" s="53" t="s">
        <v>6792</v>
      </c>
      <c r="F1217" s="54" t="s">
        <v>587</v>
      </c>
    </row>
    <row r="1218" customFormat="false" ht="15" hidden="false" customHeight="false" outlineLevel="0" collapsed="false">
      <c r="A1218" s="85" t="str">
        <f aca="false">Gov_Map!$H523&amp;""</f>
        <v>SRC_PERF_036</v>
      </c>
      <c r="B1218" s="66" t="s">
        <v>6791</v>
      </c>
      <c r="C1218" s="53" t="n">
        <v>523</v>
      </c>
      <c r="D1218" s="53" t="s">
        <v>6792</v>
      </c>
      <c r="E1218" s="53" t="s">
        <v>6792</v>
      </c>
      <c r="F1218" s="54" t="s">
        <v>587</v>
      </c>
    </row>
    <row r="1219" customFormat="false" ht="15" hidden="false" customHeight="false" outlineLevel="0" collapsed="false">
      <c r="A1219" s="85" t="str">
        <f aca="false">Gov_Map!$H524&amp;""</f>
        <v>SRC_PERF_037</v>
      </c>
      <c r="B1219" s="66" t="s">
        <v>6791</v>
      </c>
      <c r="C1219" s="53" t="n">
        <v>524</v>
      </c>
      <c r="D1219" s="53" t="s">
        <v>6792</v>
      </c>
      <c r="E1219" s="53" t="s">
        <v>6792</v>
      </c>
      <c r="F1219" s="54" t="s">
        <v>587</v>
      </c>
    </row>
    <row r="1220" customFormat="false" ht="15" hidden="false" customHeight="false" outlineLevel="0" collapsed="false">
      <c r="A1220" s="85" t="str">
        <f aca="false">Gov_Map!$H525&amp;""</f>
        <v>—</v>
      </c>
      <c r="B1220" s="66" t="s">
        <v>6791</v>
      </c>
      <c r="C1220" s="53" t="n">
        <v>525</v>
      </c>
      <c r="D1220" s="53" t="s">
        <v>6792</v>
      </c>
      <c r="E1220" s="53" t="s">
        <v>6792</v>
      </c>
      <c r="F1220" s="54" t="s">
        <v>587</v>
      </c>
    </row>
    <row r="1221" customFormat="false" ht="15" hidden="false" customHeight="false" outlineLevel="0" collapsed="false">
      <c r="A1221" s="85" t="str">
        <f aca="false">Gov_Map!$H526&amp;""</f>
        <v>—</v>
      </c>
      <c r="B1221" s="66" t="s">
        <v>6791</v>
      </c>
      <c r="C1221" s="53" t="n">
        <v>526</v>
      </c>
      <c r="D1221" s="53" t="s">
        <v>6792</v>
      </c>
      <c r="E1221" s="53" t="s">
        <v>6792</v>
      </c>
      <c r="F1221" s="54" t="s">
        <v>587</v>
      </c>
    </row>
    <row r="1222" customFormat="false" ht="15" hidden="false" customHeight="false" outlineLevel="0" collapsed="false">
      <c r="A1222" s="85" t="str">
        <f aca="false">Gov_Map!$H527&amp;""</f>
        <v>—</v>
      </c>
      <c r="B1222" s="66" t="s">
        <v>6791</v>
      </c>
      <c r="C1222" s="53" t="n">
        <v>527</v>
      </c>
      <c r="D1222" s="53" t="s">
        <v>6792</v>
      </c>
      <c r="E1222" s="53" t="s">
        <v>6792</v>
      </c>
      <c r="F1222" s="54" t="s">
        <v>587</v>
      </c>
    </row>
    <row r="1223" customFormat="false" ht="15" hidden="false" customHeight="false" outlineLevel="0" collapsed="false">
      <c r="A1223" s="85" t="str">
        <f aca="false">Gov_Map!$H528&amp;""</f>
        <v>SRC_MOD_046</v>
      </c>
      <c r="B1223" s="66" t="s">
        <v>6791</v>
      </c>
      <c r="C1223" s="53" t="n">
        <v>528</v>
      </c>
      <c r="D1223" s="53" t="s">
        <v>6792</v>
      </c>
      <c r="E1223" s="53" t="s">
        <v>6792</v>
      </c>
      <c r="F1223" s="54" t="s">
        <v>587</v>
      </c>
    </row>
    <row r="1224" customFormat="false" ht="15" hidden="false" customHeight="false" outlineLevel="0" collapsed="false">
      <c r="A1224" s="85" t="str">
        <f aca="false">Gov_Map!$H529&amp;""</f>
        <v>—</v>
      </c>
      <c r="B1224" s="66" t="s">
        <v>6791</v>
      </c>
      <c r="C1224" s="53" t="n">
        <v>529</v>
      </c>
      <c r="D1224" s="53" t="s">
        <v>6792</v>
      </c>
      <c r="E1224" s="53" t="s">
        <v>6792</v>
      </c>
      <c r="F1224" s="54" t="s">
        <v>587</v>
      </c>
    </row>
    <row r="1225" customFormat="false" ht="15" hidden="false" customHeight="false" outlineLevel="0" collapsed="false">
      <c r="A1225" s="85" t="str">
        <f aca="false">Gov_Map!$H530&amp;""</f>
        <v>SRC_DEM_001</v>
      </c>
      <c r="B1225" s="66" t="s">
        <v>6791</v>
      </c>
      <c r="C1225" s="53" t="n">
        <v>530</v>
      </c>
      <c r="D1225" s="53" t="s">
        <v>6792</v>
      </c>
      <c r="E1225" s="53" t="s">
        <v>6792</v>
      </c>
      <c r="F1225" s="54" t="s">
        <v>587</v>
      </c>
    </row>
    <row r="1226" customFormat="false" ht="15" hidden="false" customHeight="false" outlineLevel="0" collapsed="false">
      <c r="A1226" s="85" t="str">
        <f aca="false">Gov_Map!$H531&amp;""</f>
        <v>—</v>
      </c>
      <c r="B1226" s="66" t="s">
        <v>6791</v>
      </c>
      <c r="C1226" s="53" t="n">
        <v>531</v>
      </c>
      <c r="D1226" s="53" t="s">
        <v>6792</v>
      </c>
      <c r="E1226" s="53" t="s">
        <v>6792</v>
      </c>
      <c r="F1226" s="54" t="s">
        <v>587</v>
      </c>
    </row>
    <row r="1227" customFormat="false" ht="15" hidden="false" customHeight="false" outlineLevel="0" collapsed="false">
      <c r="A1227" s="85" t="str">
        <f aca="false">Gov_Map!$H532&amp;""</f>
        <v>—</v>
      </c>
      <c r="B1227" s="66" t="s">
        <v>6791</v>
      </c>
      <c r="C1227" s="53" t="n">
        <v>532</v>
      </c>
      <c r="D1227" s="53" t="s">
        <v>6792</v>
      </c>
      <c r="E1227" s="53" t="s">
        <v>6792</v>
      </c>
      <c r="F1227" s="54" t="s">
        <v>587</v>
      </c>
    </row>
    <row r="1228" customFormat="false" ht="15" hidden="false" customHeight="false" outlineLevel="0" collapsed="false">
      <c r="A1228" s="85" t="str">
        <f aca="false">Gov_Map!$H533&amp;""</f>
        <v>—</v>
      </c>
      <c r="B1228" s="66" t="s">
        <v>6791</v>
      </c>
      <c r="C1228" s="53" t="n">
        <v>533</v>
      </c>
      <c r="D1228" s="53" t="s">
        <v>6792</v>
      </c>
      <c r="E1228" s="53" t="s">
        <v>6792</v>
      </c>
      <c r="F1228" s="54" t="s">
        <v>587</v>
      </c>
    </row>
    <row r="1229" customFormat="false" ht="15" hidden="false" customHeight="false" outlineLevel="0" collapsed="false">
      <c r="A1229" s="85" t="str">
        <f aca="false">Gov_Map!$H534&amp;""</f>
        <v>—</v>
      </c>
      <c r="B1229" s="66" t="s">
        <v>6791</v>
      </c>
      <c r="C1229" s="53" t="n">
        <v>534</v>
      </c>
      <c r="D1229" s="53" t="s">
        <v>6792</v>
      </c>
      <c r="E1229" s="53" t="s">
        <v>6792</v>
      </c>
      <c r="F1229" s="54" t="s">
        <v>587</v>
      </c>
    </row>
    <row r="1230" customFormat="false" ht="15" hidden="false" customHeight="false" outlineLevel="0" collapsed="false">
      <c r="A1230" s="85" t="str">
        <f aca="false">Gov_Map!$H535&amp;""</f>
        <v>—</v>
      </c>
      <c r="B1230" s="66" t="s">
        <v>6791</v>
      </c>
      <c r="C1230" s="53" t="n">
        <v>535</v>
      </c>
      <c r="D1230" s="53" t="s">
        <v>6792</v>
      </c>
      <c r="E1230" s="53" t="s">
        <v>6792</v>
      </c>
      <c r="F1230" s="54" t="s">
        <v>587</v>
      </c>
    </row>
    <row r="1231" customFormat="false" ht="15" hidden="false" customHeight="false" outlineLevel="0" collapsed="false">
      <c r="A1231" s="85" t="str">
        <f aca="false">Gov_Map!$H536&amp;""</f>
        <v>SRC_MOD_031</v>
      </c>
      <c r="B1231" s="66" t="s">
        <v>6791</v>
      </c>
      <c r="C1231" s="53" t="n">
        <v>536</v>
      </c>
      <c r="D1231" s="53" t="s">
        <v>6792</v>
      </c>
      <c r="E1231" s="53" t="s">
        <v>6792</v>
      </c>
      <c r="F1231" s="54" t="s">
        <v>587</v>
      </c>
    </row>
    <row r="1232" customFormat="false" ht="15" hidden="false" customHeight="false" outlineLevel="0" collapsed="false">
      <c r="A1232" s="85" t="str">
        <f aca="false">Gov_Map!$H537&amp;""</f>
        <v>—</v>
      </c>
      <c r="B1232" s="66" t="s">
        <v>6791</v>
      </c>
      <c r="C1232" s="53" t="n">
        <v>537</v>
      </c>
      <c r="D1232" s="53" t="s">
        <v>6792</v>
      </c>
      <c r="E1232" s="53" t="s">
        <v>6792</v>
      </c>
      <c r="F1232" s="54" t="s">
        <v>587</v>
      </c>
    </row>
    <row r="1233" customFormat="false" ht="15" hidden="false" customHeight="false" outlineLevel="0" collapsed="false">
      <c r="A1233" s="85" t="str">
        <f aca="false">Gov_Map!$H538&amp;""</f>
        <v>—</v>
      </c>
      <c r="B1233" s="66" t="s">
        <v>6791</v>
      </c>
      <c r="C1233" s="53" t="n">
        <v>538</v>
      </c>
      <c r="D1233" s="53" t="s">
        <v>6792</v>
      </c>
      <c r="E1233" s="53" t="s">
        <v>6792</v>
      </c>
      <c r="F1233" s="54" t="s">
        <v>587</v>
      </c>
    </row>
    <row r="1234" customFormat="false" ht="15" hidden="false" customHeight="false" outlineLevel="0" collapsed="false">
      <c r="A1234" s="85" t="str">
        <f aca="false">Gov_Map!$H539&amp;""</f>
        <v>—</v>
      </c>
      <c r="B1234" s="66" t="s">
        <v>6791</v>
      </c>
      <c r="C1234" s="53" t="n">
        <v>539</v>
      </c>
      <c r="D1234" s="53" t="s">
        <v>6792</v>
      </c>
      <c r="E1234" s="53" t="s">
        <v>6792</v>
      </c>
      <c r="F1234" s="54" t="s">
        <v>587</v>
      </c>
    </row>
    <row r="1235" customFormat="false" ht="15" hidden="false" customHeight="false" outlineLevel="0" collapsed="false">
      <c r="A1235" s="85" t="str">
        <f aca="false">Gov_Map!$H540&amp;""</f>
        <v>—</v>
      </c>
      <c r="B1235" s="66" t="s">
        <v>6791</v>
      </c>
      <c r="C1235" s="53" t="n">
        <v>540</v>
      </c>
      <c r="D1235" s="53" t="s">
        <v>6792</v>
      </c>
      <c r="E1235" s="53" t="s">
        <v>6792</v>
      </c>
      <c r="F1235" s="54" t="s">
        <v>587</v>
      </c>
    </row>
    <row r="1236" customFormat="false" ht="15" hidden="false" customHeight="false" outlineLevel="0" collapsed="false">
      <c r="A1236" s="85" t="str">
        <f aca="false">Gov_Map!$H541&amp;""</f>
        <v>—</v>
      </c>
      <c r="B1236" s="66" t="s">
        <v>6791</v>
      </c>
      <c r="C1236" s="53" t="n">
        <v>541</v>
      </c>
      <c r="D1236" s="53" t="s">
        <v>6792</v>
      </c>
      <c r="E1236" s="53" t="s">
        <v>6792</v>
      </c>
      <c r="F1236" s="54" t="s">
        <v>587</v>
      </c>
    </row>
    <row r="1237" customFormat="false" ht="15" hidden="false" customHeight="false" outlineLevel="0" collapsed="false">
      <c r="A1237" s="85" t="str">
        <f aca="false">Gov_Map!$H542&amp;""</f>
        <v>—</v>
      </c>
      <c r="B1237" s="66" t="s">
        <v>6791</v>
      </c>
      <c r="C1237" s="53" t="n">
        <v>542</v>
      </c>
      <c r="D1237" s="53" t="s">
        <v>6792</v>
      </c>
      <c r="E1237" s="53" t="s">
        <v>6792</v>
      </c>
      <c r="F1237" s="54" t="s">
        <v>587</v>
      </c>
    </row>
    <row r="1238" customFormat="false" ht="15" hidden="false" customHeight="false" outlineLevel="0" collapsed="false">
      <c r="A1238" s="85" t="str">
        <f aca="false">Gov_Map!$H543&amp;""</f>
        <v>—</v>
      </c>
      <c r="B1238" s="66" t="s">
        <v>6791</v>
      </c>
      <c r="C1238" s="53" t="n">
        <v>543</v>
      </c>
      <c r="D1238" s="53" t="s">
        <v>6792</v>
      </c>
      <c r="E1238" s="53" t="s">
        <v>6792</v>
      </c>
      <c r="F1238" s="54" t="s">
        <v>587</v>
      </c>
    </row>
    <row r="1239" customFormat="false" ht="15" hidden="false" customHeight="false" outlineLevel="0" collapsed="false">
      <c r="A1239" s="85" t="str">
        <f aca="false">Gov_Map!$H544&amp;""</f>
        <v>—</v>
      </c>
      <c r="B1239" s="66" t="s">
        <v>6791</v>
      </c>
      <c r="C1239" s="53" t="n">
        <v>544</v>
      </c>
      <c r="D1239" s="53" t="s">
        <v>6792</v>
      </c>
      <c r="E1239" s="53" t="s">
        <v>6792</v>
      </c>
      <c r="F1239" s="54" t="s">
        <v>587</v>
      </c>
    </row>
    <row r="1240" customFormat="false" ht="15" hidden="false" customHeight="false" outlineLevel="0" collapsed="false">
      <c r="A1240" s="85" t="str">
        <f aca="false">Gov_Map!$H545&amp;""</f>
        <v>—</v>
      </c>
      <c r="B1240" s="66" t="s">
        <v>6791</v>
      </c>
      <c r="C1240" s="53" t="n">
        <v>545</v>
      </c>
      <c r="D1240" s="53" t="s">
        <v>6792</v>
      </c>
      <c r="E1240" s="53" t="s">
        <v>6792</v>
      </c>
      <c r="F1240" s="54" t="s">
        <v>587</v>
      </c>
    </row>
    <row r="1241" customFormat="false" ht="15" hidden="false" customHeight="false" outlineLevel="0" collapsed="false">
      <c r="A1241" s="85" t="str">
        <f aca="false">Gov_Map!$H546&amp;""</f>
        <v>—</v>
      </c>
      <c r="B1241" s="66" t="s">
        <v>6791</v>
      </c>
      <c r="C1241" s="53" t="n">
        <v>546</v>
      </c>
      <c r="D1241" s="53" t="s">
        <v>6792</v>
      </c>
      <c r="E1241" s="53" t="s">
        <v>6792</v>
      </c>
      <c r="F1241" s="54" t="s">
        <v>587</v>
      </c>
    </row>
    <row r="1242" customFormat="false" ht="15" hidden="false" customHeight="false" outlineLevel="0" collapsed="false">
      <c r="A1242" s="85" t="str">
        <f aca="false">Gov_Map!$H547&amp;""</f>
        <v>—</v>
      </c>
      <c r="B1242" s="66" t="s">
        <v>6791</v>
      </c>
      <c r="C1242" s="53" t="n">
        <v>547</v>
      </c>
      <c r="D1242" s="53" t="s">
        <v>6792</v>
      </c>
      <c r="E1242" s="53" t="s">
        <v>6792</v>
      </c>
      <c r="F1242" s="54" t="s">
        <v>587</v>
      </c>
    </row>
    <row r="1243" customFormat="false" ht="15" hidden="false" customHeight="false" outlineLevel="0" collapsed="false">
      <c r="A1243" s="85" t="str">
        <f aca="false">Gov_Map!$H548&amp;""</f>
        <v>—</v>
      </c>
      <c r="B1243" s="66" t="s">
        <v>6791</v>
      </c>
      <c r="C1243" s="53" t="n">
        <v>548</v>
      </c>
      <c r="D1243" s="53" t="s">
        <v>6792</v>
      </c>
      <c r="E1243" s="53" t="s">
        <v>6792</v>
      </c>
      <c r="F1243" s="54" t="s">
        <v>587</v>
      </c>
    </row>
    <row r="1244" customFormat="false" ht="15" hidden="false" customHeight="false" outlineLevel="0" collapsed="false">
      <c r="A1244" s="85" t="str">
        <f aca="false">Gov_Map!$H549&amp;""</f>
        <v>SRC_MOD_034</v>
      </c>
      <c r="B1244" s="66" t="s">
        <v>6791</v>
      </c>
      <c r="C1244" s="53" t="n">
        <v>549</v>
      </c>
      <c r="D1244" s="53" t="s">
        <v>6792</v>
      </c>
      <c r="E1244" s="53" t="s">
        <v>6792</v>
      </c>
      <c r="F1244" s="54" t="s">
        <v>587</v>
      </c>
    </row>
    <row r="1245" customFormat="false" ht="15" hidden="false" customHeight="false" outlineLevel="0" collapsed="false">
      <c r="A1245" s="85" t="str">
        <f aca="false">Gov_Map!$H550&amp;""</f>
        <v>SRC_MOD_033</v>
      </c>
      <c r="B1245" s="66" t="s">
        <v>6791</v>
      </c>
      <c r="C1245" s="53" t="n">
        <v>550</v>
      </c>
      <c r="D1245" s="53" t="s">
        <v>6792</v>
      </c>
      <c r="E1245" s="53" t="s">
        <v>6792</v>
      </c>
      <c r="F1245" s="54" t="s">
        <v>587</v>
      </c>
    </row>
    <row r="1246" customFormat="false" ht="15" hidden="false" customHeight="false" outlineLevel="0" collapsed="false">
      <c r="A1246" s="85" t="str">
        <f aca="false">Gov_Map!$H551&amp;""</f>
        <v>SRC_MOD_033</v>
      </c>
      <c r="B1246" s="66" t="s">
        <v>6791</v>
      </c>
      <c r="C1246" s="53" t="n">
        <v>551</v>
      </c>
      <c r="D1246" s="53" t="s">
        <v>6792</v>
      </c>
      <c r="E1246" s="53" t="s">
        <v>6792</v>
      </c>
      <c r="F1246" s="54" t="s">
        <v>587</v>
      </c>
    </row>
    <row r="1247" customFormat="false" ht="15" hidden="false" customHeight="false" outlineLevel="0" collapsed="false">
      <c r="A1247" s="85" t="str">
        <f aca="false">Gov_Map!$H552&amp;""</f>
        <v>SRC_MOD_033</v>
      </c>
      <c r="B1247" s="66" t="s">
        <v>6791</v>
      </c>
      <c r="C1247" s="53" t="n">
        <v>552</v>
      </c>
      <c r="D1247" s="53" t="s">
        <v>6792</v>
      </c>
      <c r="E1247" s="53" t="s">
        <v>6792</v>
      </c>
      <c r="F1247" s="54" t="s">
        <v>587</v>
      </c>
    </row>
    <row r="1248" customFormat="false" ht="15" hidden="false" customHeight="false" outlineLevel="0" collapsed="false">
      <c r="A1248" s="85" t="str">
        <f aca="false">Gov_Map!$H553&amp;""</f>
        <v>—</v>
      </c>
      <c r="B1248" s="66" t="s">
        <v>6791</v>
      </c>
      <c r="C1248" s="53" t="n">
        <v>553</v>
      </c>
      <c r="D1248" s="53" t="s">
        <v>6792</v>
      </c>
      <c r="E1248" s="53" t="s">
        <v>6792</v>
      </c>
      <c r="F1248" s="54" t="s">
        <v>587</v>
      </c>
    </row>
    <row r="1249" customFormat="false" ht="15" hidden="false" customHeight="false" outlineLevel="0" collapsed="false">
      <c r="A1249" s="85" t="str">
        <f aca="false">Gov_Map!$H554&amp;""</f>
        <v>—</v>
      </c>
      <c r="B1249" s="66" t="s">
        <v>6791</v>
      </c>
      <c r="C1249" s="53" t="n">
        <v>554</v>
      </c>
      <c r="D1249" s="53" t="s">
        <v>6792</v>
      </c>
      <c r="E1249" s="53" t="s">
        <v>6792</v>
      </c>
      <c r="F1249" s="54" t="s">
        <v>587</v>
      </c>
    </row>
    <row r="1250" customFormat="false" ht="15" hidden="false" customHeight="false" outlineLevel="0" collapsed="false">
      <c r="A1250" s="85" t="str">
        <f aca="false">Gov_Map!$H555&amp;""</f>
        <v>—</v>
      </c>
      <c r="B1250" s="66" t="s">
        <v>6791</v>
      </c>
      <c r="C1250" s="53" t="n">
        <v>555</v>
      </c>
      <c r="D1250" s="53" t="s">
        <v>6792</v>
      </c>
      <c r="E1250" s="53" t="s">
        <v>6792</v>
      </c>
      <c r="F1250" s="54" t="s">
        <v>587</v>
      </c>
    </row>
    <row r="1251" customFormat="false" ht="15" hidden="false" customHeight="false" outlineLevel="0" collapsed="false">
      <c r="A1251" s="85" t="str">
        <f aca="false">Gov_Map!$H556&amp;""</f>
        <v>—</v>
      </c>
      <c r="B1251" s="66" t="s">
        <v>6791</v>
      </c>
      <c r="C1251" s="53" t="n">
        <v>556</v>
      </c>
      <c r="D1251" s="53" t="s">
        <v>6792</v>
      </c>
      <c r="E1251" s="53" t="s">
        <v>6792</v>
      </c>
      <c r="F1251" s="54" t="s">
        <v>587</v>
      </c>
    </row>
    <row r="1252" customFormat="false" ht="15" hidden="false" customHeight="false" outlineLevel="0" collapsed="false">
      <c r="A1252" s="85" t="str">
        <f aca="false">Gov_Map!$H557&amp;""</f>
        <v>—</v>
      </c>
      <c r="B1252" s="66" t="s">
        <v>6791</v>
      </c>
      <c r="C1252" s="53" t="n">
        <v>557</v>
      </c>
      <c r="D1252" s="53" t="s">
        <v>6792</v>
      </c>
      <c r="E1252" s="53" t="s">
        <v>6792</v>
      </c>
      <c r="F1252" s="54" t="s">
        <v>587</v>
      </c>
    </row>
    <row r="1253" customFormat="false" ht="15" hidden="false" customHeight="false" outlineLevel="0" collapsed="false">
      <c r="A1253" s="85" t="str">
        <f aca="false">Gov_Map!$H558&amp;""</f>
        <v>—</v>
      </c>
      <c r="B1253" s="66" t="s">
        <v>6791</v>
      </c>
      <c r="C1253" s="53" t="n">
        <v>558</v>
      </c>
      <c r="D1253" s="53" t="s">
        <v>6792</v>
      </c>
      <c r="E1253" s="53" t="s">
        <v>6792</v>
      </c>
      <c r="F1253" s="54" t="s">
        <v>587</v>
      </c>
    </row>
    <row r="1254" customFormat="false" ht="15" hidden="false" customHeight="false" outlineLevel="0" collapsed="false">
      <c r="A1254" s="85" t="str">
        <f aca="false">Gov_Map!$H559&amp;""</f>
        <v>—</v>
      </c>
      <c r="B1254" s="66" t="s">
        <v>6791</v>
      </c>
      <c r="C1254" s="53" t="n">
        <v>559</v>
      </c>
      <c r="D1254" s="53" t="s">
        <v>6792</v>
      </c>
      <c r="E1254" s="53" t="s">
        <v>6792</v>
      </c>
      <c r="F1254" s="54" t="s">
        <v>587</v>
      </c>
    </row>
    <row r="1255" customFormat="false" ht="15" hidden="false" customHeight="false" outlineLevel="0" collapsed="false">
      <c r="A1255" s="85" t="str">
        <f aca="false">Gov_Map!$H560&amp;""</f>
        <v>—</v>
      </c>
      <c r="B1255" s="66" t="s">
        <v>6791</v>
      </c>
      <c r="C1255" s="53" t="n">
        <v>560</v>
      </c>
      <c r="D1255" s="53" t="s">
        <v>6792</v>
      </c>
      <c r="E1255" s="53" t="s">
        <v>6792</v>
      </c>
      <c r="F1255" s="54" t="s">
        <v>587</v>
      </c>
    </row>
    <row r="1256" customFormat="false" ht="15" hidden="false" customHeight="false" outlineLevel="0" collapsed="false">
      <c r="A1256" s="85" t="str">
        <f aca="false">Gov_Map!$H561&amp;""</f>
        <v>—</v>
      </c>
      <c r="B1256" s="66" t="s">
        <v>6791</v>
      </c>
      <c r="C1256" s="53" t="n">
        <v>561</v>
      </c>
      <c r="D1256" s="53" t="s">
        <v>6792</v>
      </c>
      <c r="E1256" s="53" t="s">
        <v>6792</v>
      </c>
      <c r="F1256" s="54" t="s">
        <v>587</v>
      </c>
    </row>
    <row r="1257" customFormat="false" ht="15" hidden="false" customHeight="false" outlineLevel="0" collapsed="false">
      <c r="A1257" s="85" t="str">
        <f aca="false">Gov_Map!$H562&amp;""</f>
        <v>—</v>
      </c>
      <c r="B1257" s="66" t="s">
        <v>6791</v>
      </c>
      <c r="C1257" s="53" t="n">
        <v>562</v>
      </c>
      <c r="D1257" s="53" t="s">
        <v>6792</v>
      </c>
      <c r="E1257" s="53" t="s">
        <v>6792</v>
      </c>
      <c r="F1257" s="54" t="s">
        <v>587</v>
      </c>
    </row>
    <row r="1258" customFormat="false" ht="15" hidden="false" customHeight="false" outlineLevel="0" collapsed="false">
      <c r="A1258" s="85" t="str">
        <f aca="false">Gov_Map!$H563&amp;""</f>
        <v>—</v>
      </c>
      <c r="B1258" s="66" t="s">
        <v>6791</v>
      </c>
      <c r="C1258" s="53" t="n">
        <v>563</v>
      </c>
      <c r="D1258" s="53" t="s">
        <v>6792</v>
      </c>
      <c r="E1258" s="53" t="s">
        <v>6792</v>
      </c>
      <c r="F1258" s="54" t="s">
        <v>587</v>
      </c>
    </row>
    <row r="1259" customFormat="false" ht="15" hidden="false" customHeight="false" outlineLevel="0" collapsed="false">
      <c r="A1259" s="85" t="str">
        <f aca="false">Gov_Map!$H564&amp;""</f>
        <v>—</v>
      </c>
      <c r="B1259" s="66" t="s">
        <v>6791</v>
      </c>
      <c r="C1259" s="53" t="n">
        <v>564</v>
      </c>
      <c r="D1259" s="53" t="s">
        <v>6792</v>
      </c>
      <c r="E1259" s="53" t="s">
        <v>6792</v>
      </c>
      <c r="F1259" s="54" t="s">
        <v>587</v>
      </c>
    </row>
    <row r="1260" customFormat="false" ht="15" hidden="false" customHeight="false" outlineLevel="0" collapsed="false">
      <c r="A1260" s="85" t="str">
        <f aca="false">Gov_Map!$H565&amp;""</f>
        <v>—</v>
      </c>
      <c r="B1260" s="66" t="s">
        <v>6791</v>
      </c>
      <c r="C1260" s="53" t="n">
        <v>565</v>
      </c>
      <c r="D1260" s="53" t="s">
        <v>6792</v>
      </c>
      <c r="E1260" s="53" t="s">
        <v>6792</v>
      </c>
      <c r="F1260" s="54" t="s">
        <v>587</v>
      </c>
    </row>
    <row r="1261" customFormat="false" ht="15" hidden="false" customHeight="false" outlineLevel="0" collapsed="false">
      <c r="A1261" s="85" t="str">
        <f aca="false">Gov_Map!$H566&amp;""</f>
        <v>—</v>
      </c>
      <c r="B1261" s="66" t="s">
        <v>6791</v>
      </c>
      <c r="C1261" s="53" t="n">
        <v>566</v>
      </c>
      <c r="D1261" s="53" t="s">
        <v>6792</v>
      </c>
      <c r="E1261" s="53" t="s">
        <v>6792</v>
      </c>
      <c r="F1261" s="54" t="s">
        <v>587</v>
      </c>
    </row>
    <row r="1262" customFormat="false" ht="15" hidden="false" customHeight="false" outlineLevel="0" collapsed="false">
      <c r="A1262" s="85" t="str">
        <f aca="false">Gov_Map!$H567&amp;""</f>
        <v>—</v>
      </c>
      <c r="B1262" s="66" t="s">
        <v>6791</v>
      </c>
      <c r="C1262" s="53" t="n">
        <v>567</v>
      </c>
      <c r="D1262" s="53" t="s">
        <v>6792</v>
      </c>
      <c r="E1262" s="53" t="s">
        <v>6792</v>
      </c>
      <c r="F1262" s="54" t="s">
        <v>587</v>
      </c>
    </row>
    <row r="1263" customFormat="false" ht="15" hidden="false" customHeight="false" outlineLevel="0" collapsed="false">
      <c r="A1263" s="85" t="str">
        <f aca="false">Gov_Map!$H568&amp;""</f>
        <v>—</v>
      </c>
      <c r="B1263" s="66" t="s">
        <v>6791</v>
      </c>
      <c r="C1263" s="53" t="n">
        <v>568</v>
      </c>
      <c r="D1263" s="53" t="s">
        <v>6792</v>
      </c>
      <c r="E1263" s="53" t="s">
        <v>6792</v>
      </c>
      <c r="F1263" s="54" t="s">
        <v>587</v>
      </c>
    </row>
    <row r="1264" customFormat="false" ht="15" hidden="false" customHeight="false" outlineLevel="0" collapsed="false">
      <c r="A1264" s="85" t="str">
        <f aca="false">Gov_Map!$H569&amp;""</f>
        <v>—</v>
      </c>
      <c r="B1264" s="66" t="s">
        <v>6791</v>
      </c>
      <c r="C1264" s="53" t="n">
        <v>569</v>
      </c>
      <c r="D1264" s="53" t="s">
        <v>6792</v>
      </c>
      <c r="E1264" s="53" t="s">
        <v>6792</v>
      </c>
      <c r="F1264" s="54" t="s">
        <v>587</v>
      </c>
    </row>
    <row r="1265" customFormat="false" ht="15" hidden="false" customHeight="false" outlineLevel="0" collapsed="false">
      <c r="A1265" s="85" t="str">
        <f aca="false">Gov_Map!$H570&amp;""</f>
        <v>—</v>
      </c>
      <c r="B1265" s="66" t="s">
        <v>6791</v>
      </c>
      <c r="C1265" s="53" t="n">
        <v>570</v>
      </c>
      <c r="D1265" s="53" t="s">
        <v>6792</v>
      </c>
      <c r="E1265" s="53" t="s">
        <v>6792</v>
      </c>
      <c r="F1265" s="54" t="s">
        <v>587</v>
      </c>
    </row>
    <row r="1266" customFormat="false" ht="15" hidden="false" customHeight="false" outlineLevel="0" collapsed="false">
      <c r="A1266" s="85" t="str">
        <f aca="false">Gov_Map!$H571&amp;""</f>
        <v>—</v>
      </c>
      <c r="B1266" s="66" t="s">
        <v>6791</v>
      </c>
      <c r="C1266" s="53" t="n">
        <v>571</v>
      </c>
      <c r="D1266" s="53" t="s">
        <v>6792</v>
      </c>
      <c r="E1266" s="53" t="s">
        <v>6792</v>
      </c>
      <c r="F1266" s="54" t="s">
        <v>587</v>
      </c>
    </row>
    <row r="1267" customFormat="false" ht="15" hidden="false" customHeight="false" outlineLevel="0" collapsed="false">
      <c r="A1267" s="85" t="str">
        <f aca="false">Gov_Map!$H572&amp;""</f>
        <v>—</v>
      </c>
      <c r="B1267" s="66" t="s">
        <v>6791</v>
      </c>
      <c r="C1267" s="53" t="n">
        <v>572</v>
      </c>
      <c r="D1267" s="53" t="s">
        <v>6792</v>
      </c>
      <c r="E1267" s="53" t="s">
        <v>6792</v>
      </c>
      <c r="F1267" s="54" t="s">
        <v>587</v>
      </c>
    </row>
    <row r="1268" customFormat="false" ht="15" hidden="false" customHeight="false" outlineLevel="0" collapsed="false">
      <c r="A1268" s="85" t="str">
        <f aca="false">Gov_Map!$H573&amp;""</f>
        <v>—</v>
      </c>
      <c r="B1268" s="66" t="s">
        <v>6791</v>
      </c>
      <c r="C1268" s="53" t="n">
        <v>573</v>
      </c>
      <c r="D1268" s="53" t="s">
        <v>6792</v>
      </c>
      <c r="E1268" s="53" t="s">
        <v>6792</v>
      </c>
      <c r="F1268" s="54" t="s">
        <v>587</v>
      </c>
    </row>
    <row r="1269" customFormat="false" ht="15" hidden="false" customHeight="false" outlineLevel="0" collapsed="false">
      <c r="A1269" s="85" t="str">
        <f aca="false">Gov_Map!$H574&amp;""</f>
        <v>—</v>
      </c>
      <c r="B1269" s="66" t="s">
        <v>6791</v>
      </c>
      <c r="C1269" s="53" t="n">
        <v>574</v>
      </c>
      <c r="D1269" s="53" t="s">
        <v>6792</v>
      </c>
      <c r="E1269" s="53" t="s">
        <v>6792</v>
      </c>
      <c r="F1269" s="54" t="s">
        <v>587</v>
      </c>
    </row>
    <row r="1270" customFormat="false" ht="15" hidden="false" customHeight="false" outlineLevel="0" collapsed="false">
      <c r="A1270" s="85" t="str">
        <f aca="false">Gov_Map!$H575&amp;""</f>
        <v>SRC_MOD_028</v>
      </c>
      <c r="B1270" s="66" t="s">
        <v>6791</v>
      </c>
      <c r="C1270" s="53" t="n">
        <v>575</v>
      </c>
      <c r="D1270" s="53" t="s">
        <v>6792</v>
      </c>
      <c r="E1270" s="53" t="s">
        <v>6792</v>
      </c>
      <c r="F1270" s="54" t="s">
        <v>587</v>
      </c>
    </row>
    <row r="1271" customFormat="false" ht="15" hidden="false" customHeight="false" outlineLevel="0" collapsed="false">
      <c r="A1271" s="85" t="str">
        <f aca="false">Gov_Map!$H576&amp;""</f>
        <v>—</v>
      </c>
      <c r="B1271" s="66" t="s">
        <v>6791</v>
      </c>
      <c r="C1271" s="53" t="n">
        <v>576</v>
      </c>
      <c r="D1271" s="53" t="s">
        <v>6792</v>
      </c>
      <c r="E1271" s="53" t="s">
        <v>6792</v>
      </c>
      <c r="F1271" s="54" t="s">
        <v>587</v>
      </c>
    </row>
    <row r="1272" customFormat="false" ht="15" hidden="false" customHeight="false" outlineLevel="0" collapsed="false">
      <c r="A1272" s="85" t="str">
        <f aca="false">Gov_Map!$H577&amp;""</f>
        <v>—</v>
      </c>
      <c r="B1272" s="66" t="s">
        <v>6791</v>
      </c>
      <c r="C1272" s="53" t="n">
        <v>577</v>
      </c>
      <c r="D1272" s="53" t="s">
        <v>6792</v>
      </c>
      <c r="E1272" s="53" t="s">
        <v>6792</v>
      </c>
      <c r="F1272" s="54" t="s">
        <v>587</v>
      </c>
    </row>
    <row r="1273" customFormat="false" ht="15" hidden="false" customHeight="false" outlineLevel="0" collapsed="false">
      <c r="A1273" s="85" t="str">
        <f aca="false">Gov_Map!$H578&amp;""</f>
        <v>SRC_HW_055</v>
      </c>
      <c r="B1273" s="66" t="s">
        <v>6791</v>
      </c>
      <c r="C1273" s="53" t="n">
        <v>578</v>
      </c>
      <c r="D1273" s="53" t="s">
        <v>6792</v>
      </c>
      <c r="E1273" s="53" t="s">
        <v>6792</v>
      </c>
      <c r="F1273" s="54" t="s">
        <v>587</v>
      </c>
    </row>
    <row r="1274" customFormat="false" ht="15" hidden="false" customHeight="false" outlineLevel="0" collapsed="false">
      <c r="A1274" s="85" t="str">
        <f aca="false">Gov_Map!$H579&amp;""</f>
        <v>—</v>
      </c>
      <c r="B1274" s="66" t="s">
        <v>6791</v>
      </c>
      <c r="C1274" s="53" t="n">
        <v>579</v>
      </c>
      <c r="D1274" s="53" t="s">
        <v>6792</v>
      </c>
      <c r="E1274" s="53" t="s">
        <v>6792</v>
      </c>
      <c r="F1274" s="54" t="s">
        <v>587</v>
      </c>
    </row>
    <row r="1275" customFormat="false" ht="15" hidden="false" customHeight="false" outlineLevel="0" collapsed="false">
      <c r="A1275" s="85" t="str">
        <f aca="false">Gov_Map!$H580&amp;""</f>
        <v>—</v>
      </c>
      <c r="B1275" s="66" t="s">
        <v>6791</v>
      </c>
      <c r="C1275" s="53" t="n">
        <v>580</v>
      </c>
      <c r="D1275" s="53" t="s">
        <v>6792</v>
      </c>
      <c r="E1275" s="53" t="s">
        <v>6792</v>
      </c>
      <c r="F1275" s="54" t="s">
        <v>587</v>
      </c>
    </row>
    <row r="1276" customFormat="false" ht="15" hidden="false" customHeight="false" outlineLevel="0" collapsed="false">
      <c r="A1276" s="85" t="str">
        <f aca="false">Gov_Map!$H581&amp;""</f>
        <v>—</v>
      </c>
      <c r="B1276" s="66" t="s">
        <v>6791</v>
      </c>
      <c r="C1276" s="53" t="n">
        <v>581</v>
      </c>
      <c r="D1276" s="53" t="s">
        <v>6792</v>
      </c>
      <c r="E1276" s="53" t="s">
        <v>6792</v>
      </c>
      <c r="F1276" s="54" t="s">
        <v>587</v>
      </c>
    </row>
    <row r="1277" customFormat="false" ht="15" hidden="false" customHeight="false" outlineLevel="0" collapsed="false">
      <c r="A1277" s="85" t="str">
        <f aca="false">Gov_Map!$H582&amp;""</f>
        <v>—</v>
      </c>
      <c r="B1277" s="66" t="s">
        <v>6791</v>
      </c>
      <c r="C1277" s="53" t="n">
        <v>582</v>
      </c>
      <c r="D1277" s="53" t="s">
        <v>6792</v>
      </c>
      <c r="E1277" s="53" t="s">
        <v>6792</v>
      </c>
      <c r="F1277" s="54" t="s">
        <v>587</v>
      </c>
    </row>
    <row r="1278" customFormat="false" ht="15" hidden="false" customHeight="false" outlineLevel="0" collapsed="false">
      <c r="A1278" s="85" t="str">
        <f aca="false">Gov_Map!$H583&amp;""</f>
        <v>—</v>
      </c>
      <c r="B1278" s="66" t="s">
        <v>6791</v>
      </c>
      <c r="C1278" s="53" t="n">
        <v>583</v>
      </c>
      <c r="D1278" s="53" t="s">
        <v>6792</v>
      </c>
      <c r="E1278" s="53" t="s">
        <v>6792</v>
      </c>
      <c r="F1278" s="54" t="s">
        <v>587</v>
      </c>
    </row>
    <row r="1279" customFormat="false" ht="15" hidden="false" customHeight="false" outlineLevel="0" collapsed="false">
      <c r="A1279" s="85" t="str">
        <f aca="false">Gov_Map!$H584&amp;""</f>
        <v>—</v>
      </c>
      <c r="B1279" s="66" t="s">
        <v>6791</v>
      </c>
      <c r="C1279" s="53" t="n">
        <v>584</v>
      </c>
      <c r="D1279" s="53" t="s">
        <v>6792</v>
      </c>
      <c r="E1279" s="53" t="s">
        <v>6792</v>
      </c>
      <c r="F1279" s="54" t="s">
        <v>587</v>
      </c>
    </row>
    <row r="1280" customFormat="false" ht="15" hidden="false" customHeight="false" outlineLevel="0" collapsed="false">
      <c r="A1280" s="85" t="str">
        <f aca="false">Gov_Map!$H585&amp;""</f>
        <v>—</v>
      </c>
      <c r="B1280" s="66" t="s">
        <v>6791</v>
      </c>
      <c r="C1280" s="53" t="n">
        <v>585</v>
      </c>
      <c r="D1280" s="53" t="s">
        <v>6792</v>
      </c>
      <c r="E1280" s="53" t="s">
        <v>6792</v>
      </c>
      <c r="F1280" s="54" t="s">
        <v>587</v>
      </c>
    </row>
    <row r="1281" customFormat="false" ht="15" hidden="false" customHeight="false" outlineLevel="0" collapsed="false">
      <c r="A1281" s="85" t="str">
        <f aca="false">Gov_Map!$H586&amp;""</f>
        <v>—</v>
      </c>
      <c r="B1281" s="66" t="s">
        <v>6791</v>
      </c>
      <c r="C1281" s="53" t="n">
        <v>586</v>
      </c>
      <c r="D1281" s="53" t="s">
        <v>6792</v>
      </c>
      <c r="E1281" s="53" t="s">
        <v>6792</v>
      </c>
      <c r="F1281" s="54" t="s">
        <v>587</v>
      </c>
    </row>
    <row r="1282" customFormat="false" ht="15" hidden="false" customHeight="false" outlineLevel="0" collapsed="false">
      <c r="A1282" s="85" t="str">
        <f aca="false">Gov_Map!$H587&amp;""</f>
        <v>—</v>
      </c>
      <c r="B1282" s="66" t="s">
        <v>6791</v>
      </c>
      <c r="C1282" s="53" t="n">
        <v>587</v>
      </c>
      <c r="D1282" s="53" t="s">
        <v>6792</v>
      </c>
      <c r="E1282" s="53" t="s">
        <v>6792</v>
      </c>
      <c r="F1282" s="54" t="s">
        <v>587</v>
      </c>
    </row>
    <row r="1283" customFormat="false" ht="15" hidden="false" customHeight="false" outlineLevel="0" collapsed="false">
      <c r="A1283" s="85" t="str">
        <f aca="false">Gov_Map!$H588&amp;""</f>
        <v>SRC_DEM_010</v>
      </c>
      <c r="B1283" s="66" t="s">
        <v>6791</v>
      </c>
      <c r="C1283" s="53" t="n">
        <v>588</v>
      </c>
      <c r="D1283" s="53" t="s">
        <v>6792</v>
      </c>
      <c r="E1283" s="53" t="s">
        <v>6792</v>
      </c>
      <c r="F1283" s="54" t="s">
        <v>587</v>
      </c>
    </row>
    <row r="1284" customFormat="false" ht="15" hidden="false" customHeight="false" outlineLevel="0" collapsed="false">
      <c r="A1284" s="85" t="str">
        <f aca="false">Gov_Map!$H589&amp;""</f>
        <v>—</v>
      </c>
      <c r="B1284" s="66" t="s">
        <v>6791</v>
      </c>
      <c r="C1284" s="53" t="n">
        <v>589</v>
      </c>
      <c r="D1284" s="53" t="s">
        <v>6792</v>
      </c>
      <c r="E1284" s="53" t="s">
        <v>6792</v>
      </c>
      <c r="F1284" s="54" t="s">
        <v>587</v>
      </c>
    </row>
    <row r="1285" customFormat="false" ht="15" hidden="false" customHeight="false" outlineLevel="0" collapsed="false">
      <c r="A1285" s="85" t="str">
        <f aca="false">Gov_Map!$H590&amp;""</f>
        <v>SRC_DEM_012</v>
      </c>
      <c r="B1285" s="66" t="s">
        <v>6791</v>
      </c>
      <c r="C1285" s="53" t="n">
        <v>590</v>
      </c>
      <c r="D1285" s="53" t="s">
        <v>6792</v>
      </c>
      <c r="E1285" s="53" t="s">
        <v>6792</v>
      </c>
      <c r="F1285" s="54" t="s">
        <v>587</v>
      </c>
    </row>
    <row r="1286" customFormat="false" ht="15" hidden="false" customHeight="false" outlineLevel="0" collapsed="false">
      <c r="A1286" s="85" t="str">
        <f aca="false">Gov_Map!$H591&amp;""</f>
        <v>—</v>
      </c>
      <c r="B1286" s="66" t="s">
        <v>6791</v>
      </c>
      <c r="C1286" s="53" t="n">
        <v>591</v>
      </c>
      <c r="D1286" s="53" t="s">
        <v>6792</v>
      </c>
      <c r="E1286" s="53" t="s">
        <v>6792</v>
      </c>
      <c r="F1286" s="54" t="s">
        <v>587</v>
      </c>
    </row>
    <row r="1287" customFormat="false" ht="15" hidden="false" customHeight="false" outlineLevel="0" collapsed="false">
      <c r="A1287" s="85" t="str">
        <f aca="false">Gov_Map!$H592&amp;""</f>
        <v>SRC_DEM_005</v>
      </c>
      <c r="B1287" s="66" t="s">
        <v>6791</v>
      </c>
      <c r="C1287" s="53" t="n">
        <v>592</v>
      </c>
      <c r="D1287" s="53" t="s">
        <v>6792</v>
      </c>
      <c r="E1287" s="53" t="s">
        <v>6792</v>
      </c>
      <c r="F1287" s="54" t="s">
        <v>587</v>
      </c>
    </row>
    <row r="1288" customFormat="false" ht="15" hidden="false" customHeight="false" outlineLevel="0" collapsed="false">
      <c r="A1288" s="85" t="str">
        <f aca="false">Gov_Map!$H593&amp;""</f>
        <v>—</v>
      </c>
      <c r="B1288" s="66" t="s">
        <v>6791</v>
      </c>
      <c r="C1288" s="53" t="n">
        <v>593</v>
      </c>
      <c r="D1288" s="53" t="s">
        <v>6792</v>
      </c>
      <c r="E1288" s="53" t="s">
        <v>6792</v>
      </c>
      <c r="F1288" s="54" t="s">
        <v>587</v>
      </c>
    </row>
    <row r="1289" customFormat="false" ht="15" hidden="false" customHeight="false" outlineLevel="0" collapsed="false">
      <c r="A1289" s="85" t="str">
        <f aca="false">Gov_Map!$H594&amp;""</f>
        <v>—</v>
      </c>
      <c r="B1289" s="66" t="s">
        <v>6791</v>
      </c>
      <c r="C1289" s="53" t="n">
        <v>594</v>
      </c>
      <c r="D1289" s="53" t="s">
        <v>6792</v>
      </c>
      <c r="E1289" s="53" t="s">
        <v>6792</v>
      </c>
      <c r="F1289" s="54" t="s">
        <v>587</v>
      </c>
    </row>
    <row r="1290" customFormat="false" ht="15" hidden="false" customHeight="false" outlineLevel="0" collapsed="false">
      <c r="A1290" s="85" t="str">
        <f aca="false">Gov_Map!$H595&amp;""</f>
        <v>—</v>
      </c>
      <c r="B1290" s="66" t="s">
        <v>6791</v>
      </c>
      <c r="C1290" s="53" t="n">
        <v>595</v>
      </c>
      <c r="D1290" s="53" t="s">
        <v>6792</v>
      </c>
      <c r="E1290" s="53" t="s">
        <v>6792</v>
      </c>
      <c r="F1290" s="54" t="s">
        <v>587</v>
      </c>
    </row>
    <row r="1291" customFormat="false" ht="15" hidden="false" customHeight="false" outlineLevel="0" collapsed="false">
      <c r="A1291" s="85" t="str">
        <f aca="false">Gov_Map!$H596&amp;""</f>
        <v>—</v>
      </c>
      <c r="B1291" s="66" t="s">
        <v>6791</v>
      </c>
      <c r="C1291" s="53" t="n">
        <v>596</v>
      </c>
      <c r="D1291" s="53" t="s">
        <v>6792</v>
      </c>
      <c r="E1291" s="53" t="s">
        <v>6792</v>
      </c>
      <c r="F1291" s="54" t="s">
        <v>587</v>
      </c>
    </row>
    <row r="1292" customFormat="false" ht="15" hidden="false" customHeight="false" outlineLevel="0" collapsed="false">
      <c r="A1292" s="85" t="str">
        <f aca="false">Gov_Map!$H597&amp;""</f>
        <v>—</v>
      </c>
      <c r="B1292" s="66" t="s">
        <v>6791</v>
      </c>
      <c r="C1292" s="53" t="n">
        <v>597</v>
      </c>
      <c r="D1292" s="53" t="s">
        <v>6792</v>
      </c>
      <c r="E1292" s="53" t="s">
        <v>6792</v>
      </c>
      <c r="F1292" s="54" t="s">
        <v>587</v>
      </c>
    </row>
    <row r="1293" customFormat="false" ht="15" hidden="false" customHeight="false" outlineLevel="0" collapsed="false">
      <c r="A1293" s="85" t="str">
        <f aca="false">Gov_Map!$H598&amp;""</f>
        <v>—</v>
      </c>
      <c r="B1293" s="66" t="s">
        <v>6791</v>
      </c>
      <c r="C1293" s="53" t="n">
        <v>598</v>
      </c>
      <c r="D1293" s="53" t="s">
        <v>6792</v>
      </c>
      <c r="E1293" s="53" t="s">
        <v>6792</v>
      </c>
      <c r="F1293" s="54" t="s">
        <v>587</v>
      </c>
    </row>
    <row r="1294" customFormat="false" ht="15" hidden="false" customHeight="false" outlineLevel="0" collapsed="false">
      <c r="A1294" s="85" t="str">
        <f aca="false">Gov_Map!$H599&amp;""</f>
        <v>SRC_PERF_056</v>
      </c>
      <c r="B1294" s="66" t="s">
        <v>6791</v>
      </c>
      <c r="C1294" s="53" t="n">
        <v>599</v>
      </c>
      <c r="D1294" s="53" t="s">
        <v>6792</v>
      </c>
      <c r="E1294" s="53" t="s">
        <v>6792</v>
      </c>
      <c r="F1294" s="54" t="s">
        <v>587</v>
      </c>
    </row>
    <row r="1295" customFormat="false" ht="15" hidden="false" customHeight="false" outlineLevel="0" collapsed="false">
      <c r="A1295" s="85" t="str">
        <f aca="false">Gov_Map!$H600&amp;""</f>
        <v>—</v>
      </c>
      <c r="B1295" s="66" t="s">
        <v>6791</v>
      </c>
      <c r="C1295" s="53" t="n">
        <v>600</v>
      </c>
      <c r="D1295" s="53" t="s">
        <v>6792</v>
      </c>
      <c r="E1295" s="53" t="s">
        <v>6792</v>
      </c>
      <c r="F1295" s="54" t="s">
        <v>587</v>
      </c>
    </row>
    <row r="1296" customFormat="false" ht="15" hidden="false" customHeight="false" outlineLevel="0" collapsed="false">
      <c r="A1296" s="85" t="str">
        <f aca="false">Gov_Map!$H601&amp;""</f>
        <v>—</v>
      </c>
      <c r="B1296" s="66" t="s">
        <v>6791</v>
      </c>
      <c r="C1296" s="53" t="n">
        <v>601</v>
      </c>
      <c r="D1296" s="53" t="s">
        <v>6792</v>
      </c>
      <c r="E1296" s="53" t="s">
        <v>6792</v>
      </c>
      <c r="F1296" s="54" t="s">
        <v>587</v>
      </c>
    </row>
    <row r="1297" customFormat="false" ht="15" hidden="false" customHeight="false" outlineLevel="0" collapsed="false">
      <c r="A1297" s="85" t="str">
        <f aca="false">Gov_Map!$H602&amp;""</f>
        <v>—</v>
      </c>
      <c r="B1297" s="66" t="s">
        <v>6791</v>
      </c>
      <c r="C1297" s="53" t="n">
        <v>602</v>
      </c>
      <c r="D1297" s="53" t="s">
        <v>6792</v>
      </c>
      <c r="E1297" s="53" t="s">
        <v>6792</v>
      </c>
      <c r="F1297" s="54" t="s">
        <v>587</v>
      </c>
    </row>
    <row r="1298" customFormat="false" ht="15" hidden="false" customHeight="false" outlineLevel="0" collapsed="false">
      <c r="A1298" s="85" t="str">
        <f aca="false">Gov_Map!$H603&amp;""</f>
        <v>—</v>
      </c>
      <c r="B1298" s="66" t="s">
        <v>6791</v>
      </c>
      <c r="C1298" s="53" t="n">
        <v>603</v>
      </c>
      <c r="D1298" s="53" t="s">
        <v>6792</v>
      </c>
      <c r="E1298" s="53" t="s">
        <v>6792</v>
      </c>
      <c r="F1298" s="54" t="s">
        <v>587</v>
      </c>
    </row>
    <row r="1299" customFormat="false" ht="15" hidden="false" customHeight="false" outlineLevel="0" collapsed="false">
      <c r="A1299" s="85" t="str">
        <f aca="false">Gov_Map!$H604&amp;""</f>
        <v>—</v>
      </c>
      <c r="B1299" s="66" t="s">
        <v>6791</v>
      </c>
      <c r="C1299" s="53" t="n">
        <v>604</v>
      </c>
      <c r="D1299" s="53" t="s">
        <v>6792</v>
      </c>
      <c r="E1299" s="53" t="s">
        <v>6792</v>
      </c>
      <c r="F1299" s="54" t="s">
        <v>587</v>
      </c>
    </row>
    <row r="1300" customFormat="false" ht="15" hidden="false" customHeight="false" outlineLevel="0" collapsed="false">
      <c r="A1300" s="85" t="str">
        <f aca="false">Gov_Map!$H605&amp;""</f>
        <v/>
      </c>
      <c r="B1300" s="66" t="s">
        <v>6791</v>
      </c>
      <c r="C1300" s="53" t="n">
        <v>605</v>
      </c>
      <c r="D1300" s="53" t="s">
        <v>6792</v>
      </c>
      <c r="E1300" s="53" t="s">
        <v>6792</v>
      </c>
      <c r="F1300" s="54" t="s">
        <v>587</v>
      </c>
    </row>
    <row r="1301" customFormat="false" ht="15" hidden="false" customHeight="false" outlineLevel="0" collapsed="false">
      <c r="A1301" s="85" t="str">
        <f aca="false">Gov_Map!$H606&amp;""</f>
        <v/>
      </c>
      <c r="B1301" s="66" t="s">
        <v>6791</v>
      </c>
      <c r="C1301" s="53" t="n">
        <v>606</v>
      </c>
      <c r="D1301" s="53" t="s">
        <v>6792</v>
      </c>
      <c r="E1301" s="53" t="s">
        <v>6792</v>
      </c>
      <c r="F1301" s="54" t="s">
        <v>587</v>
      </c>
    </row>
    <row r="1302" customFormat="false" ht="15" hidden="false" customHeight="false" outlineLevel="0" collapsed="false">
      <c r="A1302" s="85" t="str">
        <f aca="false">Gov_Map!$H607&amp;""</f>
        <v/>
      </c>
      <c r="B1302" s="66" t="s">
        <v>6791</v>
      </c>
      <c r="C1302" s="53" t="n">
        <v>607</v>
      </c>
      <c r="D1302" s="53" t="s">
        <v>6792</v>
      </c>
      <c r="E1302" s="53" t="s">
        <v>6792</v>
      </c>
      <c r="F1302" s="54" t="s">
        <v>587</v>
      </c>
    </row>
    <row r="1303" customFormat="false" ht="15" hidden="false" customHeight="false" outlineLevel="0" collapsed="false">
      <c r="A1303" s="85" t="str">
        <f aca="false">Gov_Map!$H608&amp;""</f>
        <v/>
      </c>
      <c r="B1303" s="66" t="s">
        <v>6791</v>
      </c>
      <c r="C1303" s="53" t="n">
        <v>608</v>
      </c>
      <c r="D1303" s="53" t="s">
        <v>6792</v>
      </c>
      <c r="E1303" s="53" t="s">
        <v>6792</v>
      </c>
      <c r="F1303" s="54" t="s">
        <v>587</v>
      </c>
    </row>
    <row r="1304" customFormat="false" ht="15" hidden="false" customHeight="false" outlineLevel="0" collapsed="false">
      <c r="A1304" s="85" t="str">
        <f aca="false">Gov_Map!$H609&amp;""</f>
        <v/>
      </c>
      <c r="B1304" s="66" t="s">
        <v>6791</v>
      </c>
      <c r="C1304" s="53" t="n">
        <v>609</v>
      </c>
      <c r="D1304" s="53" t="s">
        <v>6792</v>
      </c>
      <c r="E1304" s="53" t="s">
        <v>6792</v>
      </c>
      <c r="F1304" s="54" t="s">
        <v>587</v>
      </c>
    </row>
    <row r="1305" customFormat="false" ht="15" hidden="false" customHeight="false" outlineLevel="0" collapsed="false">
      <c r="A1305" s="85" t="str">
        <f aca="false">Gov_Map!$H610&amp;""</f>
        <v/>
      </c>
      <c r="B1305" s="66" t="s">
        <v>6791</v>
      </c>
      <c r="C1305" s="53" t="n">
        <v>610</v>
      </c>
      <c r="D1305" s="53" t="s">
        <v>6792</v>
      </c>
      <c r="E1305" s="53" t="s">
        <v>6792</v>
      </c>
      <c r="F1305" s="54" t="s">
        <v>587</v>
      </c>
    </row>
    <row r="1306" customFormat="false" ht="15" hidden="false" customHeight="false" outlineLevel="0" collapsed="false">
      <c r="A1306" s="85" t="str">
        <f aca="false">Gov_Map!$H611&amp;""</f>
        <v/>
      </c>
      <c r="B1306" s="66" t="s">
        <v>6791</v>
      </c>
      <c r="C1306" s="53" t="n">
        <v>611</v>
      </c>
      <c r="D1306" s="53" t="s">
        <v>6792</v>
      </c>
      <c r="E1306" s="53" t="s">
        <v>6792</v>
      </c>
      <c r="F1306" s="54" t="s">
        <v>587</v>
      </c>
    </row>
    <row r="1307" customFormat="false" ht="15" hidden="false" customHeight="false" outlineLevel="0" collapsed="false">
      <c r="A1307" s="85" t="str">
        <f aca="false">Gov_Map!$H612&amp;""</f>
        <v/>
      </c>
      <c r="B1307" s="66" t="s">
        <v>6791</v>
      </c>
      <c r="C1307" s="53" t="n">
        <v>612</v>
      </c>
      <c r="D1307" s="53" t="s">
        <v>6792</v>
      </c>
      <c r="E1307" s="53" t="s">
        <v>6792</v>
      </c>
      <c r="F1307" s="54" t="s">
        <v>587</v>
      </c>
    </row>
    <row r="1308" customFormat="false" ht="15" hidden="false" customHeight="false" outlineLevel="0" collapsed="false">
      <c r="A1308" s="85" t="str">
        <f aca="false">Gov_Map!$H613&amp;""</f>
        <v/>
      </c>
      <c r="B1308" s="66" t="s">
        <v>6791</v>
      </c>
      <c r="C1308" s="53" t="n">
        <v>613</v>
      </c>
      <c r="D1308" s="53" t="s">
        <v>6792</v>
      </c>
      <c r="E1308" s="53" t="s">
        <v>6792</v>
      </c>
      <c r="F1308" s="54" t="s">
        <v>587</v>
      </c>
    </row>
    <row r="1309" customFormat="false" ht="15" hidden="false" customHeight="false" outlineLevel="0" collapsed="false">
      <c r="A1309" s="85" t="str">
        <f aca="false">Gov_Map!$H614&amp;""</f>
        <v/>
      </c>
      <c r="B1309" s="66" t="s">
        <v>6791</v>
      </c>
      <c r="C1309" s="53" t="n">
        <v>614</v>
      </c>
      <c r="D1309" s="53" t="s">
        <v>6792</v>
      </c>
      <c r="E1309" s="53" t="s">
        <v>6792</v>
      </c>
      <c r="F1309" s="54" t="s">
        <v>587</v>
      </c>
    </row>
    <row r="1310" customFormat="false" ht="15" hidden="false" customHeight="false" outlineLevel="0" collapsed="false">
      <c r="A1310" s="85" t="str">
        <f aca="false">Gov_Map!$H615&amp;""</f>
        <v/>
      </c>
      <c r="B1310" s="66" t="s">
        <v>6791</v>
      </c>
      <c r="C1310" s="53" t="n">
        <v>615</v>
      </c>
      <c r="D1310" s="53" t="s">
        <v>6792</v>
      </c>
      <c r="E1310" s="53" t="s">
        <v>6792</v>
      </c>
      <c r="F1310" s="54" t="s">
        <v>587</v>
      </c>
    </row>
    <row r="1311" customFormat="false" ht="15" hidden="false" customHeight="false" outlineLevel="0" collapsed="false">
      <c r="A1311" s="85" t="str">
        <f aca="false">Gov_Map!$H616&amp;""</f>
        <v/>
      </c>
      <c r="B1311" s="66" t="s">
        <v>6791</v>
      </c>
      <c r="C1311" s="53" t="n">
        <v>616</v>
      </c>
      <c r="D1311" s="53" t="s">
        <v>6792</v>
      </c>
      <c r="E1311" s="53" t="s">
        <v>6792</v>
      </c>
      <c r="F1311" s="54" t="s">
        <v>587</v>
      </c>
    </row>
    <row r="1312" customFormat="false" ht="15" hidden="false" customHeight="false" outlineLevel="0" collapsed="false">
      <c r="A1312" s="85" t="str">
        <f aca="false">Gov_Map!$H617&amp;""</f>
        <v/>
      </c>
      <c r="B1312" s="66" t="s">
        <v>6791</v>
      </c>
      <c r="C1312" s="53" t="n">
        <v>617</v>
      </c>
      <c r="D1312" s="53" t="s">
        <v>6792</v>
      </c>
      <c r="E1312" s="53" t="s">
        <v>6792</v>
      </c>
      <c r="F1312" s="54" t="s">
        <v>587</v>
      </c>
    </row>
    <row r="1313" customFormat="false" ht="15" hidden="false" customHeight="false" outlineLevel="0" collapsed="false">
      <c r="A1313" s="85" t="str">
        <f aca="false">Gov_Map!$H618&amp;""</f>
        <v/>
      </c>
      <c r="B1313" s="66" t="s">
        <v>6791</v>
      </c>
      <c r="C1313" s="53" t="n">
        <v>618</v>
      </c>
      <c r="D1313" s="53" t="s">
        <v>6792</v>
      </c>
      <c r="E1313" s="53" t="s">
        <v>6792</v>
      </c>
      <c r="F1313" s="54" t="s">
        <v>587</v>
      </c>
    </row>
    <row r="1314" customFormat="false" ht="15" hidden="false" customHeight="false" outlineLevel="0" collapsed="false">
      <c r="A1314" s="85" t="str">
        <f aca="false">Gov_Map!$H619&amp;""</f>
        <v/>
      </c>
      <c r="B1314" s="66" t="s">
        <v>6791</v>
      </c>
      <c r="C1314" s="53" t="n">
        <v>619</v>
      </c>
      <c r="D1314" s="53" t="s">
        <v>6792</v>
      </c>
      <c r="E1314" s="53" t="s">
        <v>6792</v>
      </c>
      <c r="F1314" s="54" t="s">
        <v>587</v>
      </c>
    </row>
    <row r="1315" customFormat="false" ht="15" hidden="false" customHeight="false" outlineLevel="0" collapsed="false">
      <c r="A1315" s="85" t="str">
        <f aca="false">Gov_Map!$H620&amp;""</f>
        <v/>
      </c>
      <c r="B1315" s="66" t="s">
        <v>6791</v>
      </c>
      <c r="C1315" s="53" t="n">
        <v>620</v>
      </c>
      <c r="D1315" s="53" t="s">
        <v>6792</v>
      </c>
      <c r="E1315" s="53" t="s">
        <v>6792</v>
      </c>
      <c r="F1315" s="54" t="s">
        <v>587</v>
      </c>
    </row>
    <row r="1316" customFormat="false" ht="15" hidden="false" customHeight="false" outlineLevel="0" collapsed="false">
      <c r="A1316" s="85" t="str">
        <f aca="false">Gov_Map!$H621&amp;""</f>
        <v/>
      </c>
      <c r="B1316" s="66" t="s">
        <v>6791</v>
      </c>
      <c r="C1316" s="53" t="n">
        <v>621</v>
      </c>
      <c r="D1316" s="53" t="s">
        <v>6792</v>
      </c>
      <c r="E1316" s="53" t="s">
        <v>6792</v>
      </c>
      <c r="F1316" s="54" t="s">
        <v>587</v>
      </c>
    </row>
    <row r="1317" customFormat="false" ht="15" hidden="false" customHeight="false" outlineLevel="0" collapsed="false">
      <c r="A1317" s="85" t="str">
        <f aca="false">Gov_Map!$H622&amp;""</f>
        <v/>
      </c>
      <c r="B1317" s="66" t="s">
        <v>6791</v>
      </c>
      <c r="C1317" s="53" t="n">
        <v>622</v>
      </c>
      <c r="D1317" s="53" t="s">
        <v>6792</v>
      </c>
      <c r="E1317" s="53" t="s">
        <v>6792</v>
      </c>
      <c r="F1317" s="54" t="s">
        <v>587</v>
      </c>
    </row>
    <row r="1318" customFormat="false" ht="15" hidden="false" customHeight="false" outlineLevel="0" collapsed="false">
      <c r="A1318" s="85" t="str">
        <f aca="false">Gov_Map!$H623&amp;""</f>
        <v/>
      </c>
      <c r="B1318" s="66" t="s">
        <v>6791</v>
      </c>
      <c r="C1318" s="53" t="n">
        <v>623</v>
      </c>
      <c r="D1318" s="53" t="s">
        <v>6792</v>
      </c>
      <c r="E1318" s="53" t="s">
        <v>6792</v>
      </c>
      <c r="F1318" s="54" t="s">
        <v>587</v>
      </c>
    </row>
    <row r="1319" customFormat="false" ht="15" hidden="false" customHeight="false" outlineLevel="0" collapsed="false">
      <c r="A1319" s="85" t="str">
        <f aca="false">Gov_Map!$H624&amp;""</f>
        <v/>
      </c>
      <c r="B1319" s="66" t="s">
        <v>6791</v>
      </c>
      <c r="C1319" s="53" t="n">
        <v>624</v>
      </c>
      <c r="D1319" s="53" t="s">
        <v>6792</v>
      </c>
      <c r="E1319" s="53" t="s">
        <v>6792</v>
      </c>
      <c r="F1319" s="54" t="s">
        <v>587</v>
      </c>
    </row>
    <row r="1320" customFormat="false" ht="15" hidden="false" customHeight="false" outlineLevel="0" collapsed="false">
      <c r="A1320" s="85" t="str">
        <f aca="false">Gov_Map!$H625&amp;""</f>
        <v/>
      </c>
      <c r="B1320" s="66" t="s">
        <v>6791</v>
      </c>
      <c r="C1320" s="53" t="n">
        <v>625</v>
      </c>
      <c r="D1320" s="53" t="s">
        <v>6792</v>
      </c>
      <c r="E1320" s="53" t="s">
        <v>6792</v>
      </c>
      <c r="F1320" s="54" t="s">
        <v>587</v>
      </c>
    </row>
    <row r="1321" customFormat="false" ht="15" hidden="false" customHeight="false" outlineLevel="0" collapsed="false">
      <c r="A1321" s="85" t="str">
        <f aca="false">Gov_Map!$H626&amp;""</f>
        <v/>
      </c>
      <c r="B1321" s="66" t="s">
        <v>6791</v>
      </c>
      <c r="C1321" s="53" t="n">
        <v>626</v>
      </c>
      <c r="D1321" s="53" t="s">
        <v>6792</v>
      </c>
      <c r="E1321" s="53" t="s">
        <v>6792</v>
      </c>
      <c r="F1321" s="54" t="s">
        <v>587</v>
      </c>
    </row>
    <row r="1322" customFormat="false" ht="15" hidden="false" customHeight="false" outlineLevel="0" collapsed="false">
      <c r="A1322" s="85" t="str">
        <f aca="false">Gov_Map!$H627&amp;""</f>
        <v/>
      </c>
      <c r="B1322" s="66" t="s">
        <v>6791</v>
      </c>
      <c r="C1322" s="53" t="n">
        <v>627</v>
      </c>
      <c r="D1322" s="53" t="s">
        <v>6792</v>
      </c>
      <c r="E1322" s="53" t="s">
        <v>6792</v>
      </c>
      <c r="F1322" s="54" t="s">
        <v>587</v>
      </c>
    </row>
    <row r="1323" customFormat="false" ht="15" hidden="false" customHeight="false" outlineLevel="0" collapsed="false">
      <c r="A1323" s="85" t="str">
        <f aca="false">Gov_Map!$H628&amp;""</f>
        <v/>
      </c>
      <c r="B1323" s="66" t="s">
        <v>6791</v>
      </c>
      <c r="C1323" s="53" t="n">
        <v>628</v>
      </c>
      <c r="D1323" s="53" t="s">
        <v>6792</v>
      </c>
      <c r="E1323" s="53" t="s">
        <v>6792</v>
      </c>
      <c r="F1323" s="54" t="s">
        <v>587</v>
      </c>
    </row>
    <row r="1324" customFormat="false" ht="15" hidden="false" customHeight="false" outlineLevel="0" collapsed="false">
      <c r="A1324" s="85" t="str">
        <f aca="false">Gov_Map!$H629&amp;""</f>
        <v/>
      </c>
      <c r="B1324" s="66" t="s">
        <v>6791</v>
      </c>
      <c r="C1324" s="53" t="n">
        <v>629</v>
      </c>
      <c r="D1324" s="53" t="s">
        <v>6792</v>
      </c>
      <c r="E1324" s="53" t="s">
        <v>6792</v>
      </c>
      <c r="F1324" s="54" t="s">
        <v>587</v>
      </c>
    </row>
    <row r="1325" customFormat="false" ht="15" hidden="false" customHeight="false" outlineLevel="0" collapsed="false">
      <c r="A1325" s="85" t="str">
        <f aca="false">Gov_Map!$H630&amp;""</f>
        <v/>
      </c>
      <c r="B1325" s="66" t="s">
        <v>6791</v>
      </c>
      <c r="C1325" s="53" t="n">
        <v>630</v>
      </c>
      <c r="D1325" s="53" t="s">
        <v>6792</v>
      </c>
      <c r="E1325" s="53" t="s">
        <v>6792</v>
      </c>
      <c r="F1325" s="54" t="s">
        <v>587</v>
      </c>
    </row>
    <row r="1326" customFormat="false" ht="15" hidden="false" customHeight="false" outlineLevel="0" collapsed="false">
      <c r="A1326" s="85" t="str">
        <f aca="false">Gov_Map!$H631&amp;""</f>
        <v/>
      </c>
      <c r="B1326" s="66" t="s">
        <v>6791</v>
      </c>
      <c r="C1326" s="53" t="n">
        <v>631</v>
      </c>
      <c r="D1326" s="53" t="s">
        <v>6792</v>
      </c>
      <c r="E1326" s="53" t="s">
        <v>6792</v>
      </c>
      <c r="F1326" s="54" t="s">
        <v>587</v>
      </c>
    </row>
    <row r="1327" customFormat="false" ht="15" hidden="false" customHeight="false" outlineLevel="0" collapsed="false">
      <c r="A1327" s="85" t="str">
        <f aca="false">Gov_Map!$H632&amp;""</f>
        <v/>
      </c>
      <c r="B1327" s="66" t="s">
        <v>6791</v>
      </c>
      <c r="C1327" s="53" t="n">
        <v>632</v>
      </c>
      <c r="D1327" s="53" t="s">
        <v>6792</v>
      </c>
      <c r="E1327" s="53" t="s">
        <v>6792</v>
      </c>
      <c r="F1327" s="54" t="s">
        <v>587</v>
      </c>
    </row>
    <row r="1328" customFormat="false" ht="15" hidden="false" customHeight="false" outlineLevel="0" collapsed="false">
      <c r="A1328" s="85" t="str">
        <f aca="false">Gov_Map!$H633&amp;""</f>
        <v/>
      </c>
      <c r="B1328" s="66" t="s">
        <v>6791</v>
      </c>
      <c r="C1328" s="53" t="n">
        <v>633</v>
      </c>
      <c r="D1328" s="53" t="s">
        <v>6792</v>
      </c>
      <c r="E1328" s="53" t="s">
        <v>6792</v>
      </c>
      <c r="F1328" s="54" t="s">
        <v>587</v>
      </c>
    </row>
    <row r="1329" customFormat="false" ht="15" hidden="false" customHeight="false" outlineLevel="0" collapsed="false">
      <c r="A1329" s="85" t="str">
        <f aca="false">Gov_Map!$H634&amp;""</f>
        <v/>
      </c>
      <c r="B1329" s="66" t="s">
        <v>6791</v>
      </c>
      <c r="C1329" s="53" t="n">
        <v>634</v>
      </c>
      <c r="D1329" s="53" t="s">
        <v>6792</v>
      </c>
      <c r="E1329" s="53" t="s">
        <v>6792</v>
      </c>
      <c r="F1329" s="54" t="s">
        <v>587</v>
      </c>
    </row>
    <row r="1330" customFormat="false" ht="15" hidden="false" customHeight="false" outlineLevel="0" collapsed="false">
      <c r="A1330" s="85" t="str">
        <f aca="false">Gov_Map!$H635&amp;""</f>
        <v/>
      </c>
      <c r="B1330" s="66" t="s">
        <v>6791</v>
      </c>
      <c r="C1330" s="53" t="n">
        <v>635</v>
      </c>
      <c r="D1330" s="53" t="s">
        <v>6792</v>
      </c>
      <c r="E1330" s="53" t="s">
        <v>6792</v>
      </c>
      <c r="F1330" s="54" t="s">
        <v>587</v>
      </c>
    </row>
    <row r="1331" customFormat="false" ht="15" hidden="false" customHeight="false" outlineLevel="0" collapsed="false">
      <c r="A1331" s="85" t="str">
        <f aca="false">Gov_Map!$H636&amp;""</f>
        <v/>
      </c>
      <c r="B1331" s="66" t="s">
        <v>6791</v>
      </c>
      <c r="C1331" s="53" t="n">
        <v>636</v>
      </c>
      <c r="D1331" s="53" t="s">
        <v>6792</v>
      </c>
      <c r="E1331" s="53" t="s">
        <v>6792</v>
      </c>
      <c r="F1331" s="54" t="s">
        <v>587</v>
      </c>
    </row>
    <row r="1332" customFormat="false" ht="15" hidden="false" customHeight="false" outlineLevel="0" collapsed="false">
      <c r="A1332" s="85" t="str">
        <f aca="false">Gov_Map!$H637&amp;""</f>
        <v/>
      </c>
      <c r="B1332" s="66" t="s">
        <v>6791</v>
      </c>
      <c r="C1332" s="53" t="n">
        <v>637</v>
      </c>
      <c r="D1332" s="53" t="s">
        <v>6792</v>
      </c>
      <c r="E1332" s="53" t="s">
        <v>6792</v>
      </c>
      <c r="F1332" s="54" t="s">
        <v>587</v>
      </c>
    </row>
    <row r="1333" customFormat="false" ht="15" hidden="false" customHeight="false" outlineLevel="0" collapsed="false">
      <c r="A1333" s="85" t="str">
        <f aca="false">Gov_Map!$H638&amp;""</f>
        <v/>
      </c>
      <c r="B1333" s="66" t="s">
        <v>6791</v>
      </c>
      <c r="C1333" s="53" t="n">
        <v>638</v>
      </c>
      <c r="D1333" s="53" t="s">
        <v>6792</v>
      </c>
      <c r="E1333" s="53" t="s">
        <v>6792</v>
      </c>
      <c r="F1333" s="54" t="s">
        <v>587</v>
      </c>
    </row>
    <row r="1334" customFormat="false" ht="15" hidden="false" customHeight="false" outlineLevel="0" collapsed="false">
      <c r="A1334" s="85" t="str">
        <f aca="false">Gov_Map!$H639&amp;""</f>
        <v/>
      </c>
      <c r="B1334" s="66" t="s">
        <v>6791</v>
      </c>
      <c r="C1334" s="53" t="n">
        <v>639</v>
      </c>
      <c r="D1334" s="53" t="s">
        <v>6792</v>
      </c>
      <c r="E1334" s="53" t="s">
        <v>6792</v>
      </c>
      <c r="F1334" s="54" t="s">
        <v>587</v>
      </c>
    </row>
    <row r="1335" customFormat="false" ht="15" hidden="false" customHeight="false" outlineLevel="0" collapsed="false">
      <c r="A1335" s="85" t="str">
        <f aca="false">Gov_Map!$H640&amp;""</f>
        <v/>
      </c>
      <c r="B1335" s="66" t="s">
        <v>6791</v>
      </c>
      <c r="C1335" s="53" t="n">
        <v>640</v>
      </c>
      <c r="D1335" s="53" t="s">
        <v>6792</v>
      </c>
      <c r="E1335" s="53" t="s">
        <v>6792</v>
      </c>
      <c r="F1335" s="54" t="s">
        <v>587</v>
      </c>
    </row>
    <row r="1336" customFormat="false" ht="15" hidden="false" customHeight="false" outlineLevel="0" collapsed="false">
      <c r="A1336" s="85" t="str">
        <f aca="false">Gov_Map!$H641&amp;""</f>
        <v/>
      </c>
      <c r="B1336" s="66" t="s">
        <v>6791</v>
      </c>
      <c r="C1336" s="53" t="n">
        <v>641</v>
      </c>
      <c r="D1336" s="53" t="s">
        <v>6792</v>
      </c>
      <c r="E1336" s="53" t="s">
        <v>6792</v>
      </c>
      <c r="F1336" s="54" t="s">
        <v>587</v>
      </c>
    </row>
    <row r="1337" customFormat="false" ht="15" hidden="false" customHeight="false" outlineLevel="0" collapsed="false">
      <c r="A1337" s="85" t="str">
        <f aca="false">Gov_Map!$H642&amp;""</f>
        <v/>
      </c>
      <c r="B1337" s="66" t="s">
        <v>6791</v>
      </c>
      <c r="C1337" s="53" t="n">
        <v>642</v>
      </c>
      <c r="D1337" s="53" t="s">
        <v>6792</v>
      </c>
      <c r="E1337" s="53" t="s">
        <v>6792</v>
      </c>
      <c r="F1337" s="54" t="s">
        <v>587</v>
      </c>
    </row>
    <row r="1338" customFormat="false" ht="15" hidden="false" customHeight="false" outlineLevel="0" collapsed="false">
      <c r="A1338" s="85" t="str">
        <f aca="false">Gov_Map!$H643&amp;""</f>
        <v/>
      </c>
      <c r="B1338" s="66" t="s">
        <v>6791</v>
      </c>
      <c r="C1338" s="53" t="n">
        <v>643</v>
      </c>
      <c r="D1338" s="53" t="s">
        <v>6792</v>
      </c>
      <c r="E1338" s="53" t="s">
        <v>6792</v>
      </c>
      <c r="F1338" s="54" t="s">
        <v>587</v>
      </c>
    </row>
    <row r="1339" customFormat="false" ht="15" hidden="false" customHeight="false" outlineLevel="0" collapsed="false">
      <c r="A1339" s="85" t="str">
        <f aca="false">Gov_Map!$H644&amp;""</f>
        <v/>
      </c>
      <c r="B1339" s="66" t="s">
        <v>6791</v>
      </c>
      <c r="C1339" s="53" t="n">
        <v>644</v>
      </c>
      <c r="D1339" s="53" t="s">
        <v>6792</v>
      </c>
      <c r="E1339" s="53" t="s">
        <v>6792</v>
      </c>
      <c r="F1339" s="54" t="s">
        <v>587</v>
      </c>
    </row>
    <row r="1340" customFormat="false" ht="15" hidden="false" customHeight="false" outlineLevel="0" collapsed="false">
      <c r="A1340" s="85" t="str">
        <f aca="false">Gov_Map!$H645&amp;""</f>
        <v/>
      </c>
      <c r="B1340" s="66" t="s">
        <v>6791</v>
      </c>
      <c r="C1340" s="53" t="n">
        <v>645</v>
      </c>
      <c r="D1340" s="53" t="s">
        <v>6792</v>
      </c>
      <c r="E1340" s="53" t="s">
        <v>6792</v>
      </c>
      <c r="F1340" s="54" t="s">
        <v>587</v>
      </c>
    </row>
    <row r="1341" customFormat="false" ht="15" hidden="false" customHeight="false" outlineLevel="0" collapsed="false">
      <c r="A1341" s="85" t="str">
        <f aca="false">Gov_Map!$H646&amp;""</f>
        <v/>
      </c>
      <c r="B1341" s="66" t="s">
        <v>6791</v>
      </c>
      <c r="C1341" s="53" t="n">
        <v>646</v>
      </c>
      <c r="D1341" s="53" t="s">
        <v>6792</v>
      </c>
      <c r="E1341" s="53" t="s">
        <v>6792</v>
      </c>
      <c r="F1341" s="54" t="s">
        <v>587</v>
      </c>
    </row>
    <row r="1342" customFormat="false" ht="15" hidden="false" customHeight="false" outlineLevel="0" collapsed="false">
      <c r="A1342" s="85" t="str">
        <f aca="false">Gov_Map!$H647&amp;""</f>
        <v/>
      </c>
      <c r="B1342" s="66" t="s">
        <v>6791</v>
      </c>
      <c r="C1342" s="53" t="n">
        <v>647</v>
      </c>
      <c r="D1342" s="53" t="s">
        <v>6792</v>
      </c>
      <c r="E1342" s="53" t="s">
        <v>6792</v>
      </c>
      <c r="F1342" s="54" t="s">
        <v>587</v>
      </c>
    </row>
    <row r="1343" customFormat="false" ht="15" hidden="false" customHeight="false" outlineLevel="0" collapsed="false">
      <c r="A1343" s="85" t="str">
        <f aca="false">Gov_Map!$H648&amp;""</f>
        <v/>
      </c>
      <c r="B1343" s="66" t="s">
        <v>6791</v>
      </c>
      <c r="C1343" s="53" t="n">
        <v>648</v>
      </c>
      <c r="D1343" s="53" t="s">
        <v>6792</v>
      </c>
      <c r="E1343" s="53" t="s">
        <v>6792</v>
      </c>
      <c r="F1343" s="54" t="s">
        <v>587</v>
      </c>
    </row>
    <row r="1344" customFormat="false" ht="15" hidden="false" customHeight="false" outlineLevel="0" collapsed="false">
      <c r="A1344" s="85" t="str">
        <f aca="false">Gov_Map!$H649&amp;""</f>
        <v/>
      </c>
      <c r="B1344" s="66" t="s">
        <v>6791</v>
      </c>
      <c r="C1344" s="53" t="n">
        <v>649</v>
      </c>
      <c r="D1344" s="53" t="s">
        <v>6792</v>
      </c>
      <c r="E1344" s="53" t="s">
        <v>6792</v>
      </c>
      <c r="F1344" s="54" t="s">
        <v>587</v>
      </c>
    </row>
    <row r="1345" customFormat="false" ht="15" hidden="false" customHeight="false" outlineLevel="0" collapsed="false">
      <c r="A1345" s="85" t="str">
        <f aca="false">Gov_Map!$H650&amp;""</f>
        <v/>
      </c>
      <c r="B1345" s="66" t="s">
        <v>6791</v>
      </c>
      <c r="C1345" s="53" t="n">
        <v>650</v>
      </c>
      <c r="D1345" s="53" t="s">
        <v>6792</v>
      </c>
      <c r="E1345" s="53" t="s">
        <v>6792</v>
      </c>
      <c r="F1345" s="54" t="s">
        <v>587</v>
      </c>
    </row>
    <row r="1346" customFormat="false" ht="15" hidden="false" customHeight="false" outlineLevel="0" collapsed="false">
      <c r="A1346" s="85" t="str">
        <f aca="false">Gov_Map!$H651&amp;""</f>
        <v/>
      </c>
      <c r="B1346" s="66" t="s">
        <v>6791</v>
      </c>
      <c r="C1346" s="53" t="n">
        <v>651</v>
      </c>
      <c r="D1346" s="53" t="s">
        <v>6792</v>
      </c>
      <c r="E1346" s="53" t="s">
        <v>6792</v>
      </c>
      <c r="F1346" s="54" t="s">
        <v>587</v>
      </c>
    </row>
    <row r="1347" customFormat="false" ht="15" hidden="false" customHeight="false" outlineLevel="0" collapsed="false">
      <c r="A1347" s="85" t="str">
        <f aca="false">Gov_Map!$H652&amp;""</f>
        <v/>
      </c>
      <c r="B1347" s="66" t="s">
        <v>6791</v>
      </c>
      <c r="C1347" s="53" t="n">
        <v>652</v>
      </c>
      <c r="D1347" s="53" t="s">
        <v>6792</v>
      </c>
      <c r="E1347" s="53" t="s">
        <v>6792</v>
      </c>
      <c r="F1347" s="54" t="s">
        <v>587</v>
      </c>
    </row>
    <row r="1348" customFormat="false" ht="15" hidden="false" customHeight="false" outlineLevel="0" collapsed="false">
      <c r="A1348" s="85" t="str">
        <f aca="false">Gov_Map!$H653&amp;""</f>
        <v/>
      </c>
      <c r="B1348" s="66" t="s">
        <v>6791</v>
      </c>
      <c r="C1348" s="53" t="n">
        <v>653</v>
      </c>
      <c r="D1348" s="53" t="s">
        <v>6792</v>
      </c>
      <c r="E1348" s="53" t="s">
        <v>6792</v>
      </c>
      <c r="F1348" s="54" t="s">
        <v>587</v>
      </c>
    </row>
    <row r="1349" customFormat="false" ht="15" hidden="false" customHeight="false" outlineLevel="0" collapsed="false">
      <c r="A1349" s="85" t="str">
        <f aca="false">Gov_Map!$H654&amp;""</f>
        <v/>
      </c>
      <c r="B1349" s="66" t="s">
        <v>6791</v>
      </c>
      <c r="C1349" s="53" t="n">
        <v>654</v>
      </c>
      <c r="D1349" s="53" t="s">
        <v>6792</v>
      </c>
      <c r="E1349" s="53" t="s">
        <v>6792</v>
      </c>
      <c r="F1349" s="54" t="s">
        <v>587</v>
      </c>
    </row>
    <row r="1350" customFormat="false" ht="15" hidden="false" customHeight="false" outlineLevel="0" collapsed="false">
      <c r="A1350" s="85" t="str">
        <f aca="false">Gov_Map!$H655&amp;""</f>
        <v/>
      </c>
      <c r="B1350" s="66" t="s">
        <v>6791</v>
      </c>
      <c r="C1350" s="53" t="n">
        <v>655</v>
      </c>
      <c r="D1350" s="53" t="s">
        <v>6792</v>
      </c>
      <c r="E1350" s="53" t="s">
        <v>6792</v>
      </c>
      <c r="F1350" s="54" t="s">
        <v>587</v>
      </c>
    </row>
    <row r="1351" customFormat="false" ht="15" hidden="false" customHeight="false" outlineLevel="0" collapsed="false">
      <c r="A1351" s="85" t="str">
        <f aca="false">Gov_Map!$H656&amp;""</f>
        <v/>
      </c>
      <c r="B1351" s="66" t="s">
        <v>6791</v>
      </c>
      <c r="C1351" s="53" t="n">
        <v>656</v>
      </c>
      <c r="D1351" s="53" t="s">
        <v>6792</v>
      </c>
      <c r="E1351" s="53" t="s">
        <v>6792</v>
      </c>
      <c r="F1351" s="54" t="s">
        <v>587</v>
      </c>
    </row>
    <row r="1352" customFormat="false" ht="15" hidden="false" customHeight="false" outlineLevel="0" collapsed="false">
      <c r="A1352" s="85" t="str">
        <f aca="false">Gov_Map!$H657&amp;""</f>
        <v/>
      </c>
      <c r="B1352" s="66" t="s">
        <v>6791</v>
      </c>
      <c r="C1352" s="53" t="n">
        <v>657</v>
      </c>
      <c r="D1352" s="53" t="s">
        <v>6792</v>
      </c>
      <c r="E1352" s="53" t="s">
        <v>6792</v>
      </c>
      <c r="F1352" s="54" t="s">
        <v>587</v>
      </c>
    </row>
    <row r="1353" customFormat="false" ht="15" hidden="false" customHeight="false" outlineLevel="0" collapsed="false">
      <c r="A1353" s="85" t="str">
        <f aca="false">Gov_Map!$H658&amp;""</f>
        <v/>
      </c>
      <c r="B1353" s="66" t="s">
        <v>6791</v>
      </c>
      <c r="C1353" s="53" t="n">
        <v>658</v>
      </c>
      <c r="D1353" s="53" t="s">
        <v>6792</v>
      </c>
      <c r="E1353" s="53" t="s">
        <v>6792</v>
      </c>
      <c r="F1353" s="54" t="s">
        <v>587</v>
      </c>
    </row>
    <row r="1354" customFormat="false" ht="15" hidden="false" customHeight="false" outlineLevel="0" collapsed="false">
      <c r="A1354" s="85" t="str">
        <f aca="false">Gov_Map!$H659&amp;""</f>
        <v/>
      </c>
      <c r="B1354" s="66" t="s">
        <v>6791</v>
      </c>
      <c r="C1354" s="53" t="n">
        <v>659</v>
      </c>
      <c r="D1354" s="53" t="s">
        <v>6792</v>
      </c>
      <c r="E1354" s="53" t="s">
        <v>6792</v>
      </c>
      <c r="F1354" s="54" t="s">
        <v>587</v>
      </c>
    </row>
    <row r="1355" customFormat="false" ht="15" hidden="false" customHeight="false" outlineLevel="0" collapsed="false">
      <c r="A1355" s="85" t="str">
        <f aca="false">Gov_Map!$H660&amp;""</f>
        <v/>
      </c>
      <c r="B1355" s="66" t="s">
        <v>6791</v>
      </c>
      <c r="C1355" s="53" t="n">
        <v>660</v>
      </c>
      <c r="D1355" s="53" t="s">
        <v>6792</v>
      </c>
      <c r="E1355" s="53" t="s">
        <v>6792</v>
      </c>
      <c r="F1355" s="54" t="s">
        <v>587</v>
      </c>
    </row>
    <row r="1356" customFormat="false" ht="15" hidden="false" customHeight="false" outlineLevel="0" collapsed="false">
      <c r="A1356" s="85" t="str">
        <f aca="false">Gov_Map!$H661&amp;""</f>
        <v/>
      </c>
      <c r="B1356" s="66" t="s">
        <v>6791</v>
      </c>
      <c r="C1356" s="53" t="n">
        <v>661</v>
      </c>
      <c r="D1356" s="53" t="s">
        <v>6792</v>
      </c>
      <c r="E1356" s="53" t="s">
        <v>6792</v>
      </c>
      <c r="F1356" s="54" t="s">
        <v>587</v>
      </c>
    </row>
    <row r="1357" customFormat="false" ht="15" hidden="false" customHeight="false" outlineLevel="0" collapsed="false">
      <c r="A1357" s="85" t="str">
        <f aca="false">Gov_Map!$H662&amp;""</f>
        <v/>
      </c>
      <c r="B1357" s="66" t="s">
        <v>6791</v>
      </c>
      <c r="C1357" s="53" t="n">
        <v>662</v>
      </c>
      <c r="D1357" s="53" t="s">
        <v>6792</v>
      </c>
      <c r="E1357" s="53" t="s">
        <v>6792</v>
      </c>
      <c r="F1357" s="54" t="s">
        <v>587</v>
      </c>
    </row>
    <row r="1358" customFormat="false" ht="15" hidden="false" customHeight="false" outlineLevel="0" collapsed="false">
      <c r="A1358" s="85" t="str">
        <f aca="false">Gov_Map!$H663&amp;""</f>
        <v/>
      </c>
      <c r="B1358" s="66" t="s">
        <v>6791</v>
      </c>
      <c r="C1358" s="53" t="n">
        <v>663</v>
      </c>
      <c r="D1358" s="53" t="s">
        <v>6792</v>
      </c>
      <c r="E1358" s="53" t="s">
        <v>6792</v>
      </c>
      <c r="F1358" s="54" t="s">
        <v>587</v>
      </c>
    </row>
    <row r="1359" customFormat="false" ht="15" hidden="false" customHeight="false" outlineLevel="0" collapsed="false">
      <c r="A1359" s="85" t="str">
        <f aca="false">Gov_Map!$H664&amp;""</f>
        <v/>
      </c>
      <c r="B1359" s="66" t="s">
        <v>6791</v>
      </c>
      <c r="C1359" s="53" t="n">
        <v>664</v>
      </c>
      <c r="D1359" s="53" t="s">
        <v>6792</v>
      </c>
      <c r="E1359" s="53" t="s">
        <v>6792</v>
      </c>
      <c r="F1359" s="54" t="s">
        <v>587</v>
      </c>
    </row>
    <row r="1360" customFormat="false" ht="15" hidden="false" customHeight="false" outlineLevel="0" collapsed="false">
      <c r="A1360" s="85" t="str">
        <f aca="false">Gov_Map!$H665&amp;""</f>
        <v/>
      </c>
      <c r="B1360" s="66" t="s">
        <v>6791</v>
      </c>
      <c r="C1360" s="53" t="n">
        <v>665</v>
      </c>
      <c r="D1360" s="53" t="s">
        <v>6792</v>
      </c>
      <c r="E1360" s="53" t="s">
        <v>6792</v>
      </c>
      <c r="F1360" s="54" t="s">
        <v>587</v>
      </c>
    </row>
    <row r="1361" customFormat="false" ht="15" hidden="false" customHeight="false" outlineLevel="0" collapsed="false">
      <c r="A1361" s="85" t="str">
        <f aca="false">Gov_Map!$H666&amp;""</f>
        <v/>
      </c>
      <c r="B1361" s="66" t="s">
        <v>6791</v>
      </c>
      <c r="C1361" s="53" t="n">
        <v>666</v>
      </c>
      <c r="D1361" s="53" t="s">
        <v>6792</v>
      </c>
      <c r="E1361" s="53" t="s">
        <v>6792</v>
      </c>
      <c r="F1361" s="54" t="s">
        <v>587</v>
      </c>
    </row>
    <row r="1362" customFormat="false" ht="15" hidden="false" customHeight="false" outlineLevel="0" collapsed="false">
      <c r="A1362" s="85" t="str">
        <f aca="false">Gov_Map!$H667&amp;""</f>
        <v/>
      </c>
      <c r="B1362" s="66" t="s">
        <v>6791</v>
      </c>
      <c r="C1362" s="53" t="n">
        <v>667</v>
      </c>
      <c r="D1362" s="53" t="s">
        <v>6792</v>
      </c>
      <c r="E1362" s="53" t="s">
        <v>6792</v>
      </c>
      <c r="F1362" s="54" t="s">
        <v>587</v>
      </c>
    </row>
    <row r="1363" customFormat="false" ht="15" hidden="false" customHeight="false" outlineLevel="0" collapsed="false">
      <c r="A1363" s="85" t="str">
        <f aca="false">Gov_Map!$H668&amp;""</f>
        <v/>
      </c>
      <c r="B1363" s="66" t="s">
        <v>6791</v>
      </c>
      <c r="C1363" s="53" t="n">
        <v>668</v>
      </c>
      <c r="D1363" s="53" t="s">
        <v>6792</v>
      </c>
      <c r="E1363" s="53" t="s">
        <v>6792</v>
      </c>
      <c r="F1363" s="54" t="s">
        <v>587</v>
      </c>
    </row>
    <row r="1364" customFormat="false" ht="15" hidden="false" customHeight="false" outlineLevel="0" collapsed="false">
      <c r="A1364" s="85" t="str">
        <f aca="false">Gov_Map!$H669&amp;""</f>
        <v/>
      </c>
      <c r="B1364" s="66" t="s">
        <v>6791</v>
      </c>
      <c r="C1364" s="53" t="n">
        <v>669</v>
      </c>
      <c r="D1364" s="53" t="s">
        <v>6792</v>
      </c>
      <c r="E1364" s="53" t="s">
        <v>6792</v>
      </c>
      <c r="F1364" s="54" t="s">
        <v>587</v>
      </c>
    </row>
    <row r="1365" customFormat="false" ht="15" hidden="false" customHeight="false" outlineLevel="0" collapsed="false">
      <c r="A1365" s="85" t="str">
        <f aca="false">Gov_Map!$H670&amp;""</f>
        <v/>
      </c>
      <c r="B1365" s="66" t="s">
        <v>6791</v>
      </c>
      <c r="C1365" s="53" t="n">
        <v>670</v>
      </c>
      <c r="D1365" s="53" t="s">
        <v>6792</v>
      </c>
      <c r="E1365" s="53" t="s">
        <v>6792</v>
      </c>
      <c r="F1365" s="54" t="s">
        <v>587</v>
      </c>
    </row>
    <row r="1366" customFormat="false" ht="15" hidden="false" customHeight="false" outlineLevel="0" collapsed="false">
      <c r="A1366" s="85" t="str">
        <f aca="false">Gov_Map!$H671&amp;""</f>
        <v/>
      </c>
      <c r="B1366" s="66" t="s">
        <v>6791</v>
      </c>
      <c r="C1366" s="53" t="n">
        <v>671</v>
      </c>
      <c r="D1366" s="53" t="s">
        <v>6792</v>
      </c>
      <c r="E1366" s="53" t="s">
        <v>6792</v>
      </c>
      <c r="F1366" s="54" t="s">
        <v>587</v>
      </c>
    </row>
    <row r="1367" customFormat="false" ht="15" hidden="false" customHeight="false" outlineLevel="0" collapsed="false">
      <c r="A1367" s="85" t="str">
        <f aca="false">Gov_Map!$H672&amp;""</f>
        <v/>
      </c>
      <c r="B1367" s="66" t="s">
        <v>6791</v>
      </c>
      <c r="C1367" s="53" t="n">
        <v>672</v>
      </c>
      <c r="D1367" s="53" t="s">
        <v>6792</v>
      </c>
      <c r="E1367" s="53" t="s">
        <v>6792</v>
      </c>
      <c r="F1367" s="54" t="s">
        <v>587</v>
      </c>
    </row>
    <row r="1368" customFormat="false" ht="15" hidden="false" customHeight="false" outlineLevel="0" collapsed="false">
      <c r="A1368" s="85" t="str">
        <f aca="false">Gov_Map!$H673&amp;""</f>
        <v/>
      </c>
      <c r="B1368" s="66" t="s">
        <v>6791</v>
      </c>
      <c r="C1368" s="53" t="n">
        <v>673</v>
      </c>
      <c r="D1368" s="53" t="s">
        <v>6792</v>
      </c>
      <c r="E1368" s="53" t="s">
        <v>6792</v>
      </c>
      <c r="F1368" s="54" t="s">
        <v>587</v>
      </c>
    </row>
    <row r="1369" customFormat="false" ht="15" hidden="false" customHeight="false" outlineLevel="0" collapsed="false">
      <c r="A1369" s="85" t="str">
        <f aca="false">Gov_Map!$H674&amp;""</f>
        <v/>
      </c>
      <c r="B1369" s="66" t="s">
        <v>6791</v>
      </c>
      <c r="C1369" s="53" t="n">
        <v>674</v>
      </c>
      <c r="D1369" s="53" t="s">
        <v>6792</v>
      </c>
      <c r="E1369" s="53" t="s">
        <v>6792</v>
      </c>
      <c r="F1369" s="54" t="s">
        <v>587</v>
      </c>
    </row>
    <row r="1370" customFormat="false" ht="15" hidden="false" customHeight="false" outlineLevel="0" collapsed="false">
      <c r="A1370" s="85" t="str">
        <f aca="false">Gov_Map!$H675&amp;""</f>
        <v/>
      </c>
      <c r="B1370" s="66" t="s">
        <v>6791</v>
      </c>
      <c r="C1370" s="53" t="n">
        <v>675</v>
      </c>
      <c r="D1370" s="53" t="s">
        <v>6792</v>
      </c>
      <c r="E1370" s="53" t="s">
        <v>6792</v>
      </c>
      <c r="F1370" s="54" t="s">
        <v>587</v>
      </c>
    </row>
    <row r="1371" customFormat="false" ht="15" hidden="false" customHeight="false" outlineLevel="0" collapsed="false">
      <c r="A1371" s="85" t="str">
        <f aca="false">Gov_Map!$H676&amp;""</f>
        <v/>
      </c>
      <c r="B1371" s="66" t="s">
        <v>6791</v>
      </c>
      <c r="C1371" s="53" t="n">
        <v>676</v>
      </c>
      <c r="D1371" s="53" t="s">
        <v>6792</v>
      </c>
      <c r="E1371" s="53" t="s">
        <v>6792</v>
      </c>
      <c r="F1371" s="54" t="s">
        <v>587</v>
      </c>
    </row>
    <row r="1372" customFormat="false" ht="15" hidden="false" customHeight="false" outlineLevel="0" collapsed="false">
      <c r="A1372" s="85" t="str">
        <f aca="false">Gov_Map!$H677&amp;""</f>
        <v/>
      </c>
      <c r="B1372" s="66" t="s">
        <v>6791</v>
      </c>
      <c r="C1372" s="53" t="n">
        <v>677</v>
      </c>
      <c r="D1372" s="53" t="s">
        <v>6792</v>
      </c>
      <c r="E1372" s="53" t="s">
        <v>6792</v>
      </c>
      <c r="F1372" s="54" t="s">
        <v>587</v>
      </c>
    </row>
    <row r="1373" customFormat="false" ht="15" hidden="false" customHeight="false" outlineLevel="0" collapsed="false">
      <c r="A1373" s="85" t="str">
        <f aca="false">Gov_Map!$H678&amp;""</f>
        <v/>
      </c>
      <c r="B1373" s="66" t="s">
        <v>6791</v>
      </c>
      <c r="C1373" s="53" t="n">
        <v>678</v>
      </c>
      <c r="D1373" s="53" t="s">
        <v>6792</v>
      </c>
      <c r="E1373" s="53" t="s">
        <v>6792</v>
      </c>
      <c r="F1373" s="54" t="s">
        <v>587</v>
      </c>
    </row>
    <row r="1374" customFormat="false" ht="15" hidden="false" customHeight="false" outlineLevel="0" collapsed="false">
      <c r="A1374" s="85" t="str">
        <f aca="false">Gov_Map!$H679&amp;""</f>
        <v/>
      </c>
      <c r="B1374" s="66" t="s">
        <v>6791</v>
      </c>
      <c r="C1374" s="53" t="n">
        <v>679</v>
      </c>
      <c r="D1374" s="53" t="s">
        <v>6792</v>
      </c>
      <c r="E1374" s="53" t="s">
        <v>6792</v>
      </c>
      <c r="F1374" s="54" t="s">
        <v>587</v>
      </c>
    </row>
    <row r="1375" customFormat="false" ht="15" hidden="false" customHeight="false" outlineLevel="0" collapsed="false">
      <c r="A1375" s="85" t="str">
        <f aca="false">Gov_Map!$H680&amp;""</f>
        <v/>
      </c>
      <c r="B1375" s="66" t="s">
        <v>6791</v>
      </c>
      <c r="C1375" s="53" t="n">
        <v>680</v>
      </c>
      <c r="D1375" s="53" t="s">
        <v>6792</v>
      </c>
      <c r="E1375" s="53" t="s">
        <v>6792</v>
      </c>
      <c r="F1375" s="54" t="s">
        <v>587</v>
      </c>
    </row>
    <row r="1376" customFormat="false" ht="15" hidden="false" customHeight="false" outlineLevel="0" collapsed="false">
      <c r="A1376" s="85" t="str">
        <f aca="false">Gov_Map!$H681&amp;""</f>
        <v/>
      </c>
      <c r="B1376" s="66" t="s">
        <v>6791</v>
      </c>
      <c r="C1376" s="53" t="n">
        <v>681</v>
      </c>
      <c r="D1376" s="53" t="s">
        <v>6792</v>
      </c>
      <c r="E1376" s="53" t="s">
        <v>6792</v>
      </c>
      <c r="F1376" s="54" t="s">
        <v>587</v>
      </c>
    </row>
    <row r="1377" customFormat="false" ht="15" hidden="false" customHeight="false" outlineLevel="0" collapsed="false">
      <c r="A1377" s="85" t="str">
        <f aca="false">Gov_Map!$H682&amp;""</f>
        <v/>
      </c>
      <c r="B1377" s="66" t="s">
        <v>6791</v>
      </c>
      <c r="C1377" s="53" t="n">
        <v>682</v>
      </c>
      <c r="D1377" s="53" t="s">
        <v>6792</v>
      </c>
      <c r="E1377" s="53" t="s">
        <v>6792</v>
      </c>
      <c r="F1377" s="54" t="s">
        <v>587</v>
      </c>
    </row>
    <row r="1378" customFormat="false" ht="15" hidden="false" customHeight="false" outlineLevel="0" collapsed="false">
      <c r="A1378" s="85" t="str">
        <f aca="false">Gov_Map!$H683&amp;""</f>
        <v/>
      </c>
      <c r="B1378" s="66" t="s">
        <v>6791</v>
      </c>
      <c r="C1378" s="53" t="n">
        <v>683</v>
      </c>
      <c r="D1378" s="53" t="s">
        <v>6792</v>
      </c>
      <c r="E1378" s="53" t="s">
        <v>6792</v>
      </c>
      <c r="F1378" s="54" t="s">
        <v>587</v>
      </c>
    </row>
    <row r="1379" customFormat="false" ht="15" hidden="false" customHeight="false" outlineLevel="0" collapsed="false">
      <c r="A1379" s="85" t="str">
        <f aca="false">Gov_Map!$H684&amp;""</f>
        <v/>
      </c>
      <c r="B1379" s="66" t="s">
        <v>6791</v>
      </c>
      <c r="C1379" s="53" t="n">
        <v>684</v>
      </c>
      <c r="D1379" s="53" t="s">
        <v>6792</v>
      </c>
      <c r="E1379" s="53" t="s">
        <v>6792</v>
      </c>
      <c r="F1379" s="54" t="s">
        <v>587</v>
      </c>
    </row>
    <row r="1380" customFormat="false" ht="15" hidden="false" customHeight="false" outlineLevel="0" collapsed="false">
      <c r="A1380" s="85" t="str">
        <f aca="false">Gov_Map!$H685&amp;""</f>
        <v/>
      </c>
      <c r="B1380" s="66" t="s">
        <v>6791</v>
      </c>
      <c r="C1380" s="53" t="n">
        <v>685</v>
      </c>
      <c r="D1380" s="53" t="s">
        <v>6792</v>
      </c>
      <c r="E1380" s="53" t="s">
        <v>6792</v>
      </c>
      <c r="F1380" s="54" t="s">
        <v>587</v>
      </c>
    </row>
    <row r="1381" customFormat="false" ht="15" hidden="false" customHeight="false" outlineLevel="0" collapsed="false">
      <c r="A1381" s="85" t="str">
        <f aca="false">Gov_Map!$H686&amp;""</f>
        <v/>
      </c>
      <c r="B1381" s="66" t="s">
        <v>6791</v>
      </c>
      <c r="C1381" s="53" t="n">
        <v>686</v>
      </c>
      <c r="D1381" s="53" t="s">
        <v>6792</v>
      </c>
      <c r="E1381" s="53" t="s">
        <v>6792</v>
      </c>
      <c r="F1381" s="54" t="s">
        <v>587</v>
      </c>
    </row>
    <row r="1382" customFormat="false" ht="15" hidden="false" customHeight="false" outlineLevel="0" collapsed="false">
      <c r="A1382" s="85" t="str">
        <f aca="false">Gov_Map!$H687&amp;""</f>
        <v/>
      </c>
      <c r="B1382" s="66" t="s">
        <v>6791</v>
      </c>
      <c r="C1382" s="53" t="n">
        <v>687</v>
      </c>
      <c r="D1382" s="53" t="s">
        <v>6792</v>
      </c>
      <c r="E1382" s="53" t="s">
        <v>6792</v>
      </c>
      <c r="F1382" s="54" t="s">
        <v>587</v>
      </c>
    </row>
    <row r="1383" customFormat="false" ht="15" hidden="false" customHeight="false" outlineLevel="0" collapsed="false">
      <c r="A1383" s="85" t="str">
        <f aca="false">Gov_Map!$H688&amp;""</f>
        <v/>
      </c>
      <c r="B1383" s="66" t="s">
        <v>6791</v>
      </c>
      <c r="C1383" s="53" t="n">
        <v>688</v>
      </c>
      <c r="D1383" s="53" t="s">
        <v>6792</v>
      </c>
      <c r="E1383" s="53" t="s">
        <v>6792</v>
      </c>
      <c r="F1383" s="54" t="s">
        <v>587</v>
      </c>
    </row>
    <row r="1384" customFormat="false" ht="15" hidden="false" customHeight="false" outlineLevel="0" collapsed="false">
      <c r="A1384" s="85" t="str">
        <f aca="false">Gov_Map!$H689&amp;""</f>
        <v/>
      </c>
      <c r="B1384" s="66" t="s">
        <v>6791</v>
      </c>
      <c r="C1384" s="53" t="n">
        <v>689</v>
      </c>
      <c r="D1384" s="53" t="s">
        <v>6792</v>
      </c>
      <c r="E1384" s="53" t="s">
        <v>6792</v>
      </c>
      <c r="F1384" s="54" t="s">
        <v>587</v>
      </c>
    </row>
    <row r="1385" customFormat="false" ht="15" hidden="false" customHeight="false" outlineLevel="0" collapsed="false">
      <c r="A1385" s="85" t="str">
        <f aca="false">Gov_Map!$H690&amp;""</f>
        <v/>
      </c>
      <c r="B1385" s="66" t="s">
        <v>6791</v>
      </c>
      <c r="C1385" s="53" t="n">
        <v>690</v>
      </c>
      <c r="D1385" s="53" t="s">
        <v>6792</v>
      </c>
      <c r="E1385" s="53" t="s">
        <v>6792</v>
      </c>
      <c r="F1385" s="54" t="s">
        <v>587</v>
      </c>
    </row>
    <row r="1386" customFormat="false" ht="15" hidden="false" customHeight="false" outlineLevel="0" collapsed="false">
      <c r="A1386" s="85" t="str">
        <f aca="false">Gov_Map!$H691&amp;""</f>
        <v/>
      </c>
      <c r="B1386" s="66" t="s">
        <v>6791</v>
      </c>
      <c r="C1386" s="53" t="n">
        <v>691</v>
      </c>
      <c r="D1386" s="53" t="s">
        <v>6792</v>
      </c>
      <c r="E1386" s="53" t="s">
        <v>6792</v>
      </c>
      <c r="F1386" s="54" t="s">
        <v>587</v>
      </c>
    </row>
    <row r="1387" customFormat="false" ht="15" hidden="false" customHeight="false" outlineLevel="0" collapsed="false">
      <c r="A1387" s="85" t="str">
        <f aca="false">Gov_Map!$H692&amp;""</f>
        <v/>
      </c>
      <c r="B1387" s="66" t="s">
        <v>6791</v>
      </c>
      <c r="C1387" s="53" t="n">
        <v>692</v>
      </c>
      <c r="D1387" s="53" t="s">
        <v>6792</v>
      </c>
      <c r="E1387" s="53" t="s">
        <v>6792</v>
      </c>
      <c r="F1387" s="54" t="s">
        <v>587</v>
      </c>
    </row>
    <row r="1388" customFormat="false" ht="15" hidden="false" customHeight="false" outlineLevel="0" collapsed="false">
      <c r="A1388" s="85" t="str">
        <f aca="false">Gov_Map!$H693&amp;""</f>
        <v/>
      </c>
      <c r="B1388" s="66" t="s">
        <v>6791</v>
      </c>
      <c r="C1388" s="53" t="n">
        <v>693</v>
      </c>
      <c r="D1388" s="53" t="s">
        <v>6792</v>
      </c>
      <c r="E1388" s="53" t="s">
        <v>6792</v>
      </c>
      <c r="F1388" s="54" t="s">
        <v>587</v>
      </c>
    </row>
    <row r="1389" customFormat="false" ht="15" hidden="false" customHeight="false" outlineLevel="0" collapsed="false">
      <c r="A1389" s="85" t="str">
        <f aca="false">Gov_Map!$H694&amp;""</f>
        <v/>
      </c>
      <c r="B1389" s="66" t="s">
        <v>6791</v>
      </c>
      <c r="C1389" s="53" t="n">
        <v>694</v>
      </c>
      <c r="D1389" s="53" t="s">
        <v>6792</v>
      </c>
      <c r="E1389" s="53" t="s">
        <v>6792</v>
      </c>
      <c r="F1389" s="54" t="s">
        <v>587</v>
      </c>
    </row>
    <row r="1390" customFormat="false" ht="15" hidden="false" customHeight="false" outlineLevel="0" collapsed="false">
      <c r="A1390" s="85" t="str">
        <f aca="false">Gov_Map!$H695&amp;""</f>
        <v/>
      </c>
      <c r="B1390" s="66" t="s">
        <v>6791</v>
      </c>
      <c r="C1390" s="53" t="n">
        <v>695</v>
      </c>
      <c r="D1390" s="53" t="s">
        <v>6792</v>
      </c>
      <c r="E1390" s="53" t="s">
        <v>6792</v>
      </c>
      <c r="F1390" s="54" t="s">
        <v>587</v>
      </c>
    </row>
    <row r="1391" customFormat="false" ht="15" hidden="false" customHeight="false" outlineLevel="0" collapsed="false">
      <c r="A1391" s="85" t="str">
        <f aca="false">Gov_Map!$H696&amp;""</f>
        <v/>
      </c>
      <c r="B1391" s="66" t="s">
        <v>6791</v>
      </c>
      <c r="C1391" s="53" t="n">
        <v>696</v>
      </c>
      <c r="D1391" s="53" t="s">
        <v>6792</v>
      </c>
      <c r="E1391" s="53" t="s">
        <v>6792</v>
      </c>
      <c r="F1391" s="54" t="s">
        <v>587</v>
      </c>
    </row>
    <row r="1392" customFormat="false" ht="15" hidden="false" customHeight="false" outlineLevel="0" collapsed="false">
      <c r="A1392" s="85" t="str">
        <f aca="false">Gov_Map!$H697&amp;""</f>
        <v/>
      </c>
      <c r="B1392" s="66" t="s">
        <v>6791</v>
      </c>
      <c r="C1392" s="53" t="n">
        <v>697</v>
      </c>
      <c r="D1392" s="53" t="s">
        <v>6792</v>
      </c>
      <c r="E1392" s="53" t="s">
        <v>6792</v>
      </c>
      <c r="F1392" s="54" t="s">
        <v>587</v>
      </c>
    </row>
    <row r="1393" customFormat="false" ht="15" hidden="false" customHeight="false" outlineLevel="0" collapsed="false">
      <c r="A1393" s="85" t="str">
        <f aca="false">Gov_Map!$H698&amp;""</f>
        <v/>
      </c>
      <c r="B1393" s="66" t="s">
        <v>6791</v>
      </c>
      <c r="C1393" s="53" t="n">
        <v>698</v>
      </c>
      <c r="D1393" s="53" t="s">
        <v>6792</v>
      </c>
      <c r="E1393" s="53" t="s">
        <v>6792</v>
      </c>
      <c r="F1393" s="54" t="s">
        <v>587</v>
      </c>
    </row>
    <row r="1394" customFormat="false" ht="15" hidden="false" customHeight="false" outlineLevel="0" collapsed="false">
      <c r="A1394" s="85" t="str">
        <f aca="false">Gov_Map!$H699&amp;""</f>
        <v/>
      </c>
      <c r="B1394" s="66" t="s">
        <v>6791</v>
      </c>
      <c r="C1394" s="53" t="n">
        <v>699</v>
      </c>
      <c r="D1394" s="53" t="s">
        <v>6792</v>
      </c>
      <c r="E1394" s="53" t="s">
        <v>6792</v>
      </c>
      <c r="F1394" s="54" t="s">
        <v>587</v>
      </c>
    </row>
    <row r="1395" customFormat="false" ht="15" hidden="false" customHeight="false" outlineLevel="0" collapsed="false">
      <c r="A1395" s="85" t="str">
        <f aca="false">Gov_Map!$H700&amp;""</f>
        <v/>
      </c>
      <c r="B1395" s="66" t="s">
        <v>6791</v>
      </c>
      <c r="C1395" s="53" t="n">
        <v>700</v>
      </c>
      <c r="D1395" s="53" t="s">
        <v>6792</v>
      </c>
      <c r="E1395" s="53" t="s">
        <v>6792</v>
      </c>
      <c r="F1395" s="54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6793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24" t="s">
        <v>566</v>
      </c>
      <c r="B3" s="12" t="s">
        <v>336</v>
      </c>
      <c r="C3" s="12" t="s">
        <v>6794</v>
      </c>
      <c r="D3" s="12" t="s">
        <v>67</v>
      </c>
      <c r="E3" s="12" t="s">
        <v>4853</v>
      </c>
      <c r="F3" s="12" t="s">
        <v>430</v>
      </c>
      <c r="G3" s="12" t="s">
        <v>6795</v>
      </c>
    </row>
    <row r="4" customFormat="false" ht="29.25" hidden="false" customHeight="true" outlineLevel="0" collapsed="false">
      <c r="A4" s="15" t="s">
        <v>5150</v>
      </c>
      <c r="B4" s="15" t="s">
        <v>6796</v>
      </c>
      <c r="C4" s="19" t="s">
        <v>6797</v>
      </c>
      <c r="D4" s="15" t="s">
        <v>115</v>
      </c>
      <c r="E4" s="15" t="s">
        <v>5371</v>
      </c>
      <c r="F4" s="6" t="s">
        <v>5372</v>
      </c>
      <c r="G4" s="20" t="s">
        <v>6798</v>
      </c>
    </row>
    <row r="5" customFormat="false" ht="15" hidden="false" customHeight="true" outlineLevel="0" collapsed="false">
      <c r="A5" s="15" t="s">
        <v>5159</v>
      </c>
      <c r="B5" s="15" t="s">
        <v>6799</v>
      </c>
      <c r="C5" s="19" t="s">
        <v>6800</v>
      </c>
      <c r="D5" s="15" t="s">
        <v>84</v>
      </c>
      <c r="E5" s="15" t="s">
        <v>5383</v>
      </c>
      <c r="F5" s="6" t="s">
        <v>5384</v>
      </c>
      <c r="G5" s="20" t="s">
        <v>6798</v>
      </c>
    </row>
    <row r="6" customFormat="false" ht="15" hidden="false" customHeight="true" outlineLevel="0" collapsed="false">
      <c r="A6" s="15" t="s">
        <v>5401</v>
      </c>
      <c r="B6" s="15" t="s">
        <v>6801</v>
      </c>
      <c r="C6" s="6" t="s">
        <v>6802</v>
      </c>
      <c r="D6" s="15" t="s">
        <v>185</v>
      </c>
      <c r="E6" s="15" t="s">
        <v>5397</v>
      </c>
      <c r="F6" s="6" t="s">
        <v>5406</v>
      </c>
      <c r="G6" s="20" t="s">
        <v>6798</v>
      </c>
    </row>
    <row r="7" customFormat="false" ht="15" hidden="false" customHeight="true" outlineLevel="0" collapsed="false">
      <c r="A7" s="15" t="s">
        <v>5417</v>
      </c>
      <c r="B7" s="15" t="s">
        <v>6803</v>
      </c>
      <c r="C7" s="6" t="s">
        <v>6804</v>
      </c>
      <c r="D7" s="15" t="s">
        <v>185</v>
      </c>
      <c r="E7" s="15" t="s">
        <v>5413</v>
      </c>
      <c r="F7" s="6" t="s">
        <v>5414</v>
      </c>
      <c r="G7" s="20" t="s">
        <v>6798</v>
      </c>
    </row>
    <row r="8" customFormat="false" ht="15" hidden="false" customHeight="true" outlineLevel="0" collapsed="false">
      <c r="A8" s="15" t="s">
        <v>5433</v>
      </c>
      <c r="B8" s="15" t="s">
        <v>6805</v>
      </c>
      <c r="C8" s="6" t="s">
        <v>6806</v>
      </c>
      <c r="D8" s="15" t="s">
        <v>185</v>
      </c>
      <c r="E8" s="15" t="s">
        <v>1192</v>
      </c>
      <c r="F8" s="6" t="s">
        <v>5430</v>
      </c>
      <c r="G8" s="20" t="s">
        <v>6798</v>
      </c>
    </row>
    <row r="9" customFormat="false" ht="15" hidden="false" customHeight="true" outlineLevel="0" collapsed="false">
      <c r="A9" s="15" t="s">
        <v>5440</v>
      </c>
      <c r="B9" s="15" t="s">
        <v>6807</v>
      </c>
      <c r="C9" s="6" t="s">
        <v>6808</v>
      </c>
      <c r="D9" s="15" t="s">
        <v>185</v>
      </c>
      <c r="E9" s="15" t="s">
        <v>1192</v>
      </c>
      <c r="F9" s="6" t="s">
        <v>5437</v>
      </c>
      <c r="G9" s="20" t="s">
        <v>6798</v>
      </c>
    </row>
    <row r="10" customFormat="false" ht="29.25" hidden="false" customHeight="true" outlineLevel="0" collapsed="false">
      <c r="A10" s="15" t="s">
        <v>5448</v>
      </c>
      <c r="B10" s="15" t="s">
        <v>6809</v>
      </c>
      <c r="C10" s="6" t="s">
        <v>6810</v>
      </c>
      <c r="D10" s="15" t="s">
        <v>185</v>
      </c>
      <c r="E10" s="15" t="s">
        <v>5383</v>
      </c>
      <c r="F10" s="6" t="s">
        <v>5453</v>
      </c>
      <c r="G10" s="20" t="s">
        <v>6798</v>
      </c>
    </row>
    <row r="11" customFormat="false" ht="15" hidden="false" customHeight="true" outlineLevel="0" collapsed="false">
      <c r="A11" s="15" t="s">
        <v>5470</v>
      </c>
      <c r="B11" s="15" t="s">
        <v>5464</v>
      </c>
      <c r="C11" s="6" t="s">
        <v>6811</v>
      </c>
      <c r="D11" s="15" t="s">
        <v>185</v>
      </c>
      <c r="E11" s="15" t="s">
        <v>1189</v>
      </c>
      <c r="F11" s="6" t="s">
        <v>6812</v>
      </c>
      <c r="G11" s="20" t="s">
        <v>6798</v>
      </c>
    </row>
    <row r="12" customFormat="false" ht="15" hidden="false" customHeight="true" outlineLevel="0" collapsed="false">
      <c r="A12" s="15" t="s">
        <v>5480</v>
      </c>
      <c r="B12" s="15" t="s">
        <v>6813</v>
      </c>
      <c r="C12" s="6" t="s">
        <v>6814</v>
      </c>
      <c r="D12" s="15" t="s">
        <v>185</v>
      </c>
      <c r="E12" s="15" t="s">
        <v>6815</v>
      </c>
      <c r="F12" s="6" t="s">
        <v>5476</v>
      </c>
      <c r="G12" s="20" t="s">
        <v>6798</v>
      </c>
    </row>
    <row r="13" customFormat="false" ht="15" hidden="false" customHeight="true" outlineLevel="0" collapsed="false">
      <c r="A13" s="15" t="s">
        <v>5712</v>
      </c>
      <c r="B13" s="20" t="s">
        <v>6816</v>
      </c>
      <c r="C13" s="6" t="s">
        <v>6817</v>
      </c>
      <c r="D13" s="15" t="s">
        <v>84</v>
      </c>
      <c r="E13" s="15" t="s">
        <v>5383</v>
      </c>
      <c r="F13" s="6" t="s">
        <v>5709</v>
      </c>
      <c r="G13" s="20" t="s">
        <v>6798</v>
      </c>
    </row>
    <row r="14" customFormat="false" ht="15" hidden="false" customHeight="true" outlineLevel="0" collapsed="false">
      <c r="A14" s="15" t="s">
        <v>5498</v>
      </c>
      <c r="B14" s="15" t="s">
        <v>6818</v>
      </c>
      <c r="C14" s="19" t="s">
        <v>6819</v>
      </c>
      <c r="D14" s="15" t="s">
        <v>185</v>
      </c>
      <c r="E14" s="15" t="s">
        <v>5383</v>
      </c>
      <c r="F14" s="6" t="s">
        <v>5495</v>
      </c>
      <c r="G14" s="20" t="s">
        <v>6820</v>
      </c>
    </row>
    <row r="15" customFormat="false" ht="29.25" hidden="false" customHeight="true" outlineLevel="0" collapsed="false">
      <c r="A15" s="15" t="s">
        <v>5724</v>
      </c>
      <c r="B15" s="20" t="s">
        <v>6821</v>
      </c>
      <c r="C15" s="6" t="s">
        <v>6822</v>
      </c>
      <c r="D15" s="15" t="s">
        <v>84</v>
      </c>
      <c r="E15" s="15" t="s">
        <v>5383</v>
      </c>
      <c r="F15" s="6" t="s">
        <v>5722</v>
      </c>
      <c r="G15" s="20" t="s">
        <v>6798</v>
      </c>
    </row>
    <row r="16" customFormat="false" ht="26.25" hidden="false" customHeight="true" outlineLevel="0" collapsed="false">
      <c r="A16" s="15" t="s">
        <v>5737</v>
      </c>
      <c r="B16" s="20" t="s">
        <v>6823</v>
      </c>
      <c r="C16" s="6" t="s">
        <v>6824</v>
      </c>
      <c r="D16" s="15" t="s">
        <v>115</v>
      </c>
      <c r="E16" s="15" t="s">
        <v>5475</v>
      </c>
      <c r="F16" s="6" t="s">
        <v>5734</v>
      </c>
      <c r="G16" s="20" t="s">
        <v>6825</v>
      </c>
    </row>
    <row r="17" customFormat="false" ht="15" hidden="false" customHeight="true" outlineLevel="0" collapsed="false">
      <c r="A17" s="15" t="s">
        <v>6826</v>
      </c>
      <c r="B17" s="15" t="s">
        <v>82</v>
      </c>
      <c r="C17" s="19" t="s">
        <v>6827</v>
      </c>
      <c r="D17" s="15" t="s">
        <v>84</v>
      </c>
      <c r="E17" s="15" t="s">
        <v>587</v>
      </c>
      <c r="F17" s="6" t="s">
        <v>6828</v>
      </c>
      <c r="G17" s="20" t="s">
        <v>6798</v>
      </c>
    </row>
    <row r="18" customFormat="false" ht="29.25" hidden="false" customHeight="true" outlineLevel="0" collapsed="false">
      <c r="A18" s="15" t="s">
        <v>5746</v>
      </c>
      <c r="B18" s="15" t="s">
        <v>6829</v>
      </c>
      <c r="C18" s="6" t="s">
        <v>6830</v>
      </c>
      <c r="D18" s="15" t="s">
        <v>115</v>
      </c>
      <c r="E18" s="15" t="s">
        <v>5502</v>
      </c>
      <c r="F18" s="6" t="s">
        <v>5744</v>
      </c>
      <c r="G18" s="20" t="s">
        <v>6831</v>
      </c>
    </row>
    <row r="19" customFormat="false" ht="15" hidden="false" customHeight="true" outlineLevel="0" collapsed="false">
      <c r="A19" s="15" t="s">
        <v>5761</v>
      </c>
      <c r="B19" s="20" t="s">
        <v>6832</v>
      </c>
      <c r="C19" s="19" t="s">
        <v>6833</v>
      </c>
      <c r="D19" s="15" t="s">
        <v>185</v>
      </c>
      <c r="E19" s="15" t="s">
        <v>5757</v>
      </c>
      <c r="F19" s="6" t="s">
        <v>5758</v>
      </c>
      <c r="G19" s="20" t="s">
        <v>6834</v>
      </c>
    </row>
    <row r="20" customFormat="false" ht="15" hidden="false" customHeight="true" outlineLevel="0" collapsed="false">
      <c r="A20" s="15" t="s">
        <v>5771</v>
      </c>
      <c r="B20" s="15" t="s">
        <v>6835</v>
      </c>
      <c r="C20" s="6" t="s">
        <v>6836</v>
      </c>
      <c r="D20" s="15" t="s">
        <v>185</v>
      </c>
      <c r="E20" s="15" t="s">
        <v>5475</v>
      </c>
      <c r="F20" s="6" t="s">
        <v>5767</v>
      </c>
      <c r="G20" s="20" t="s">
        <v>5766</v>
      </c>
    </row>
    <row r="21" customFormat="false" ht="15" hidden="false" customHeight="true" outlineLevel="0" collapsed="false">
      <c r="A21" s="15" t="s">
        <v>6355</v>
      </c>
      <c r="B21" s="15" t="s">
        <v>6837</v>
      </c>
      <c r="C21" s="6" t="s">
        <v>6838</v>
      </c>
      <c r="D21" s="15" t="s">
        <v>115</v>
      </c>
      <c r="E21" s="15" t="s">
        <v>5475</v>
      </c>
      <c r="F21" s="6" t="s">
        <v>6352</v>
      </c>
      <c r="G21" s="20" t="s">
        <v>6798</v>
      </c>
    </row>
    <row r="22" customFormat="false" ht="15" hidden="false" customHeight="true" outlineLevel="0" collapsed="false">
      <c r="A22" s="15" t="s">
        <v>6365</v>
      </c>
      <c r="B22" s="20" t="s">
        <v>6839</v>
      </c>
      <c r="C22" s="6" t="s">
        <v>6840</v>
      </c>
      <c r="D22" s="15" t="s">
        <v>258</v>
      </c>
      <c r="E22" s="15" t="s">
        <v>1189</v>
      </c>
      <c r="F22" s="6" t="s">
        <v>6361</v>
      </c>
      <c r="G22" s="20" t="s">
        <v>6360</v>
      </c>
    </row>
    <row r="23" customFormat="false" ht="54.75" hidden="false" customHeight="true" outlineLevel="0" collapsed="false">
      <c r="A23" s="6" t="s">
        <v>433</v>
      </c>
      <c r="B23" s="6" t="s">
        <v>6841</v>
      </c>
      <c r="C23" s="6" t="s">
        <v>6842</v>
      </c>
      <c r="D23" s="6" t="s">
        <v>6843</v>
      </c>
      <c r="E23" s="6" t="s">
        <v>5475</v>
      </c>
      <c r="F23" s="6" t="s">
        <v>6065</v>
      </c>
      <c r="G23" s="5" t="s">
        <v>6844</v>
      </c>
    </row>
    <row r="24" customFormat="false" ht="43.5" hidden="false" customHeight="true" outlineLevel="0" collapsed="false">
      <c r="A24" s="6" t="s">
        <v>432</v>
      </c>
      <c r="B24" s="6" t="s">
        <v>6845</v>
      </c>
      <c r="C24" s="6" t="s">
        <v>6846</v>
      </c>
      <c r="D24" s="6" t="s">
        <v>6847</v>
      </c>
      <c r="E24" s="6" t="s">
        <v>6079</v>
      </c>
      <c r="F24" s="6" t="s">
        <v>6080</v>
      </c>
      <c r="G24" s="5" t="s">
        <v>6848</v>
      </c>
    </row>
    <row r="25" customFormat="false" ht="29.25" hidden="false" customHeight="true" outlineLevel="0" collapsed="false">
      <c r="A25" s="6" t="s">
        <v>431</v>
      </c>
      <c r="B25" s="6" t="s">
        <v>6849</v>
      </c>
      <c r="C25" s="6" t="s">
        <v>6850</v>
      </c>
      <c r="D25" s="6" t="s">
        <v>6851</v>
      </c>
      <c r="E25" s="5" t="s">
        <v>6852</v>
      </c>
      <c r="F25" s="6" t="s">
        <v>6103</v>
      </c>
      <c r="G25" s="5" t="s">
        <v>6853</v>
      </c>
    </row>
    <row r="26" customFormat="false" ht="29.25" hidden="false" customHeight="true" outlineLevel="0" collapsed="false">
      <c r="A26" s="6" t="s">
        <v>434</v>
      </c>
      <c r="B26" s="6" t="s">
        <v>6854</v>
      </c>
      <c r="C26" s="6" t="s">
        <v>6855</v>
      </c>
      <c r="D26" s="6" t="s">
        <v>6856</v>
      </c>
      <c r="E26" s="6" t="s">
        <v>6125</v>
      </c>
      <c r="F26" s="6" t="s">
        <v>6126</v>
      </c>
      <c r="G26" s="5" t="s">
        <v>6857</v>
      </c>
    </row>
    <row r="27" customFormat="false" ht="29.25" hidden="false" customHeight="true" outlineLevel="0" collapsed="false">
      <c r="A27" s="6" t="s">
        <v>6139</v>
      </c>
      <c r="B27" s="6" t="s">
        <v>6858</v>
      </c>
      <c r="C27" s="6" t="s">
        <v>6859</v>
      </c>
      <c r="D27" s="6" t="s">
        <v>6856</v>
      </c>
      <c r="E27" s="6" t="s">
        <v>1192</v>
      </c>
      <c r="F27" s="6" t="s">
        <v>6136</v>
      </c>
      <c r="G27" s="5" t="s">
        <v>6860</v>
      </c>
    </row>
    <row r="28" customFormat="false" ht="29.25" hidden="false" customHeight="true" outlineLevel="0" collapsed="false">
      <c r="A28" s="6" t="s">
        <v>6616</v>
      </c>
      <c r="B28" s="6" t="s">
        <v>6861</v>
      </c>
      <c r="C28" s="6" t="s">
        <v>6862</v>
      </c>
      <c r="D28" s="6" t="s">
        <v>6863</v>
      </c>
      <c r="E28" s="6" t="s">
        <v>5899</v>
      </c>
      <c r="F28" s="6" t="s">
        <v>6613</v>
      </c>
      <c r="G28" s="5" t="s">
        <v>6864</v>
      </c>
    </row>
    <row r="29" customFormat="false" ht="54.75" hidden="false" customHeight="true" outlineLevel="0" collapsed="false">
      <c r="A29" s="6" t="s">
        <v>6150</v>
      </c>
      <c r="B29" s="6" t="s">
        <v>6865</v>
      </c>
      <c r="C29" s="6" t="s">
        <v>6866</v>
      </c>
      <c r="D29" s="6" t="s">
        <v>6867</v>
      </c>
      <c r="E29" s="6" t="s">
        <v>1189</v>
      </c>
      <c r="F29" s="6" t="s">
        <v>6147</v>
      </c>
      <c r="G29" s="5" t="s">
        <v>6868</v>
      </c>
    </row>
    <row r="30" customFormat="false" ht="29.25" hidden="false" customHeight="true" outlineLevel="0" collapsed="false">
      <c r="A30" s="6" t="s">
        <v>2932</v>
      </c>
      <c r="B30" s="6" t="s">
        <v>6869</v>
      </c>
      <c r="C30" s="6" t="s">
        <v>6870</v>
      </c>
      <c r="D30" s="6" t="s">
        <v>115</v>
      </c>
      <c r="E30" s="6" t="s">
        <v>5383</v>
      </c>
      <c r="F30" s="6" t="s">
        <v>5779</v>
      </c>
      <c r="G30" s="5" t="s">
        <v>6871</v>
      </c>
    </row>
    <row r="31" customFormat="false" ht="43.5" hidden="false" customHeight="true" outlineLevel="0" collapsed="false">
      <c r="A31" s="6" t="s">
        <v>5507</v>
      </c>
      <c r="B31" s="6" t="s">
        <v>6872</v>
      </c>
      <c r="C31" s="6" t="s">
        <v>6873</v>
      </c>
      <c r="D31" s="6" t="s">
        <v>6874</v>
      </c>
      <c r="E31" s="6" t="s">
        <v>5502</v>
      </c>
      <c r="F31" s="5" t="s">
        <v>5503</v>
      </c>
      <c r="G31" s="5" t="s">
        <v>6875</v>
      </c>
    </row>
    <row r="32" customFormat="false" ht="15" hidden="false" customHeight="true" outlineLevel="0" collapsed="false">
      <c r="A32" s="6" t="s">
        <v>5556</v>
      </c>
      <c r="B32" s="5" t="s">
        <v>6876</v>
      </c>
      <c r="C32" s="6" t="s">
        <v>6877</v>
      </c>
      <c r="D32" s="6" t="s">
        <v>84</v>
      </c>
      <c r="E32" s="6" t="s">
        <v>587</v>
      </c>
      <c r="F32" s="5" t="s">
        <v>5553</v>
      </c>
      <c r="G32" s="5" t="s">
        <v>6798</v>
      </c>
    </row>
    <row r="33" customFormat="false" ht="29.25" hidden="false" customHeight="true" outlineLevel="0" collapsed="false">
      <c r="A33" s="6" t="s">
        <v>6183</v>
      </c>
      <c r="B33" s="6" t="s">
        <v>6878</v>
      </c>
      <c r="C33" s="6" t="s">
        <v>6879</v>
      </c>
      <c r="D33" s="6" t="s">
        <v>6880</v>
      </c>
      <c r="E33" s="6" t="s">
        <v>6178</v>
      </c>
      <c r="F33" s="6" t="s">
        <v>6179</v>
      </c>
      <c r="G33" s="5" t="s">
        <v>6864</v>
      </c>
    </row>
    <row r="34" customFormat="false" ht="69" hidden="false" customHeight="true" outlineLevel="0" collapsed="false">
      <c r="A34" s="6" t="s">
        <v>2918</v>
      </c>
      <c r="B34" s="6" t="s">
        <v>6881</v>
      </c>
      <c r="C34" s="6" t="s">
        <v>6882</v>
      </c>
      <c r="D34" s="6" t="s">
        <v>6883</v>
      </c>
      <c r="E34" s="6" t="s">
        <v>6194</v>
      </c>
      <c r="F34" s="6" t="s">
        <v>6884</v>
      </c>
      <c r="G34" s="5" t="s">
        <v>6885</v>
      </c>
    </row>
    <row r="35" customFormat="false" ht="29.25" hidden="false" customHeight="true" outlineLevel="0" collapsed="false">
      <c r="A35" s="6" t="s">
        <v>6210</v>
      </c>
      <c r="B35" s="6" t="s">
        <v>6886</v>
      </c>
      <c r="C35" s="5" t="s">
        <v>6887</v>
      </c>
      <c r="D35" s="6" t="s">
        <v>115</v>
      </c>
      <c r="E35" s="6" t="s">
        <v>6888</v>
      </c>
      <c r="F35" s="6" t="s">
        <v>6207</v>
      </c>
      <c r="G35" s="5" t="s">
        <v>6868</v>
      </c>
    </row>
    <row r="36" customFormat="false" ht="29.25" hidden="false" customHeight="true" outlineLevel="0" collapsed="false">
      <c r="A36" s="6" t="s">
        <v>6889</v>
      </c>
      <c r="B36" s="6" t="s">
        <v>6890</v>
      </c>
      <c r="C36" s="6" t="s">
        <v>6891</v>
      </c>
      <c r="D36" s="6" t="s">
        <v>6892</v>
      </c>
      <c r="E36" s="6" t="s">
        <v>5413</v>
      </c>
      <c r="F36" s="6" t="s">
        <v>6893</v>
      </c>
      <c r="G36" s="5" t="s">
        <v>6894</v>
      </c>
    </row>
    <row r="37" customFormat="false" ht="29.25" hidden="false" customHeight="true" outlineLevel="0" collapsed="false">
      <c r="A37" s="6" t="s">
        <v>5886</v>
      </c>
      <c r="B37" s="6" t="s">
        <v>6895</v>
      </c>
      <c r="C37" s="6" t="s">
        <v>6896</v>
      </c>
      <c r="D37" s="6" t="s">
        <v>6897</v>
      </c>
      <c r="E37" s="6" t="s">
        <v>5397</v>
      </c>
      <c r="F37" s="6" t="s">
        <v>5882</v>
      </c>
      <c r="G37" s="5" t="s">
        <v>6898</v>
      </c>
    </row>
    <row r="38" customFormat="false" ht="29.25" hidden="false" customHeight="true" outlineLevel="0" collapsed="false">
      <c r="A38" s="6" t="s">
        <v>5575</v>
      </c>
      <c r="B38" s="6" t="s">
        <v>6899</v>
      </c>
      <c r="C38" s="6" t="s">
        <v>6900</v>
      </c>
      <c r="D38" s="6" t="s">
        <v>6874</v>
      </c>
      <c r="E38" s="6" t="s">
        <v>5383</v>
      </c>
      <c r="F38" s="6" t="s">
        <v>5571</v>
      </c>
      <c r="G38" s="5" t="s">
        <v>6901</v>
      </c>
    </row>
    <row r="39" customFormat="false" ht="29.25" hidden="false" customHeight="true" outlineLevel="0" collapsed="false">
      <c r="A39" s="6" t="s">
        <v>6236</v>
      </c>
      <c r="B39" s="6" t="s">
        <v>6902</v>
      </c>
      <c r="C39" s="6" t="s">
        <v>6903</v>
      </c>
      <c r="D39" s="6" t="s">
        <v>6904</v>
      </c>
      <c r="E39" s="6" t="s">
        <v>6232</v>
      </c>
      <c r="F39" s="6" t="s">
        <v>6233</v>
      </c>
      <c r="G39" s="5" t="s">
        <v>6798</v>
      </c>
    </row>
    <row r="40" customFormat="false" ht="57.75" hidden="false" customHeight="true" outlineLevel="0" collapsed="false">
      <c r="A40" s="6" t="s">
        <v>6683</v>
      </c>
      <c r="B40" s="6" t="s">
        <v>6905</v>
      </c>
      <c r="C40" s="5" t="s">
        <v>6906</v>
      </c>
      <c r="D40" s="6" t="s">
        <v>6907</v>
      </c>
      <c r="E40" s="6" t="s">
        <v>5413</v>
      </c>
      <c r="F40" s="6" t="s">
        <v>6680</v>
      </c>
      <c r="G40" s="5" t="s">
        <v>6868</v>
      </c>
    </row>
    <row r="41" customFormat="false" ht="29.25" hidden="false" customHeight="true" outlineLevel="0" collapsed="false">
      <c r="A41" s="6" t="s">
        <v>5904</v>
      </c>
      <c r="B41" s="6" t="s">
        <v>6908</v>
      </c>
      <c r="C41" s="6" t="s">
        <v>6909</v>
      </c>
      <c r="D41" s="6" t="s">
        <v>6910</v>
      </c>
      <c r="E41" s="6" t="s">
        <v>5899</v>
      </c>
      <c r="F41" s="6" t="s">
        <v>5900</v>
      </c>
      <c r="G41" s="5" t="s">
        <v>6868</v>
      </c>
    </row>
    <row r="42" customFormat="false" ht="43.5" hidden="false" customHeight="true" outlineLevel="0" collapsed="false">
      <c r="A42" s="6" t="s">
        <v>5915</v>
      </c>
      <c r="B42" s="6" t="s">
        <v>6911</v>
      </c>
      <c r="C42" s="6" t="s">
        <v>6912</v>
      </c>
      <c r="D42" s="6" t="s">
        <v>6913</v>
      </c>
      <c r="E42" s="6" t="s">
        <v>6914</v>
      </c>
      <c r="F42" s="6" t="s">
        <v>5912</v>
      </c>
      <c r="G42" s="5" t="s">
        <v>6915</v>
      </c>
    </row>
    <row r="43" customFormat="false" ht="29.25" hidden="false" customHeight="true" outlineLevel="0" collapsed="false">
      <c r="A43" s="6" t="s">
        <v>5927</v>
      </c>
      <c r="B43" s="6" t="s">
        <v>6916</v>
      </c>
      <c r="C43" s="6" t="s">
        <v>6917</v>
      </c>
      <c r="D43" s="6" t="s">
        <v>6918</v>
      </c>
      <c r="E43" s="6" t="s">
        <v>5923</v>
      </c>
      <c r="F43" s="6" t="s">
        <v>5924</v>
      </c>
      <c r="G43" s="5" t="s">
        <v>6868</v>
      </c>
    </row>
    <row r="44" customFormat="false" ht="40.5" hidden="false" customHeight="true" outlineLevel="0" collapsed="false">
      <c r="A44" s="6" t="s">
        <v>5935</v>
      </c>
      <c r="B44" s="6" t="s">
        <v>6919</v>
      </c>
      <c r="C44" s="5" t="s">
        <v>6920</v>
      </c>
      <c r="D44" s="6" t="s">
        <v>6921</v>
      </c>
      <c r="E44" s="6" t="s">
        <v>5931</v>
      </c>
      <c r="F44" s="6" t="s">
        <v>5932</v>
      </c>
      <c r="G44" s="5" t="s">
        <v>6922</v>
      </c>
    </row>
    <row r="45" customFormat="false" ht="29.25" hidden="false" customHeight="true" outlineLevel="0" collapsed="false">
      <c r="A45" s="6" t="s">
        <v>6923</v>
      </c>
      <c r="B45" s="6" t="s">
        <v>6924</v>
      </c>
      <c r="C45" s="6" t="s">
        <v>6925</v>
      </c>
      <c r="D45" s="6" t="s">
        <v>6926</v>
      </c>
      <c r="E45" s="6" t="s">
        <v>5383</v>
      </c>
      <c r="F45" s="6" t="s">
        <v>6927</v>
      </c>
      <c r="G45" s="5" t="s">
        <v>6928</v>
      </c>
    </row>
    <row r="46" customFormat="false" ht="29.25" hidden="false" customHeight="true" outlineLevel="0" collapsed="false">
      <c r="A46" s="6" t="s">
        <v>951</v>
      </c>
      <c r="B46" s="6" t="s">
        <v>6929</v>
      </c>
      <c r="C46" s="5" t="s">
        <v>6930</v>
      </c>
      <c r="D46" s="6" t="s">
        <v>6897</v>
      </c>
      <c r="E46" s="6" t="s">
        <v>5945</v>
      </c>
      <c r="F46" s="6" t="s">
        <v>5946</v>
      </c>
      <c r="G46" s="6" t="s">
        <v>6931</v>
      </c>
    </row>
    <row r="47" customFormat="false" ht="29.25" hidden="false" customHeight="true" outlineLevel="0" collapsed="false">
      <c r="A47" s="6" t="s">
        <v>5964</v>
      </c>
      <c r="B47" s="6" t="s">
        <v>6932</v>
      </c>
      <c r="C47" s="5" t="s">
        <v>6933</v>
      </c>
      <c r="D47" s="6" t="s">
        <v>6897</v>
      </c>
      <c r="E47" s="6" t="s">
        <v>1189</v>
      </c>
      <c r="F47" s="6" t="s">
        <v>5962</v>
      </c>
      <c r="G47" s="5" t="s">
        <v>6898</v>
      </c>
    </row>
    <row r="48" customFormat="false" ht="29.25" hidden="false" customHeight="true" outlineLevel="0" collapsed="false">
      <c r="A48" s="6" t="s">
        <v>5974</v>
      </c>
      <c r="B48" s="6" t="s">
        <v>6934</v>
      </c>
      <c r="C48" s="5" t="s">
        <v>6935</v>
      </c>
      <c r="D48" s="6" t="s">
        <v>6936</v>
      </c>
      <c r="E48" s="6" t="s">
        <v>5970</v>
      </c>
      <c r="F48" s="6" t="s">
        <v>5971</v>
      </c>
      <c r="G48" s="5" t="s">
        <v>6898</v>
      </c>
    </row>
    <row r="49" customFormat="false" ht="29.25" hidden="false" customHeight="true" outlineLevel="0" collapsed="false">
      <c r="A49" s="6" t="s">
        <v>5979</v>
      </c>
      <c r="B49" s="6" t="s">
        <v>6937</v>
      </c>
      <c r="C49" s="5" t="s">
        <v>6938</v>
      </c>
      <c r="D49" s="6" t="s">
        <v>6939</v>
      </c>
      <c r="E49" s="6" t="s">
        <v>5911</v>
      </c>
      <c r="F49" s="6" t="s">
        <v>5977</v>
      </c>
      <c r="G49" s="5" t="s">
        <v>6915</v>
      </c>
    </row>
    <row r="50" customFormat="false" ht="29.25" hidden="false" customHeight="true" outlineLevel="0" collapsed="false">
      <c r="A50" s="6" t="s">
        <v>5988</v>
      </c>
      <c r="B50" s="6" t="s">
        <v>6940</v>
      </c>
      <c r="C50" s="6" t="s">
        <v>6941</v>
      </c>
      <c r="D50" s="6" t="s">
        <v>6904</v>
      </c>
      <c r="E50" s="6" t="s">
        <v>5931</v>
      </c>
      <c r="F50" s="6" t="s">
        <v>5985</v>
      </c>
      <c r="G50" s="5" t="s">
        <v>6868</v>
      </c>
    </row>
    <row r="51" customFormat="false" ht="29.25" hidden="false" customHeight="true" outlineLevel="0" collapsed="false">
      <c r="A51" s="6" t="s">
        <v>6250</v>
      </c>
      <c r="B51" s="6" t="s">
        <v>6942</v>
      </c>
      <c r="C51" s="6" t="s">
        <v>6943</v>
      </c>
      <c r="D51" s="6" t="s">
        <v>6944</v>
      </c>
      <c r="E51" s="6" t="s">
        <v>6945</v>
      </c>
      <c r="F51" s="6" t="s">
        <v>6247</v>
      </c>
      <c r="G51" s="5" t="s">
        <v>6946</v>
      </c>
    </row>
    <row r="52" customFormat="false" ht="29.25" hidden="false" customHeight="true" outlineLevel="0" collapsed="false">
      <c r="A52" s="6" t="s">
        <v>6172</v>
      </c>
      <c r="B52" s="6" t="s">
        <v>6947</v>
      </c>
      <c r="C52" s="6" t="s">
        <v>6948</v>
      </c>
      <c r="D52" s="6" t="s">
        <v>6897</v>
      </c>
      <c r="E52" s="6" t="s">
        <v>6168</v>
      </c>
      <c r="F52" s="6" t="s">
        <v>6169</v>
      </c>
      <c r="G52" s="5" t="s">
        <v>6798</v>
      </c>
    </row>
    <row r="53" customFormat="false" ht="29.25" hidden="false" customHeight="true" outlineLevel="0" collapsed="false">
      <c r="A53" s="6" t="s">
        <v>6374</v>
      </c>
      <c r="B53" s="6" t="s">
        <v>6949</v>
      </c>
      <c r="C53" s="6" t="s">
        <v>6950</v>
      </c>
      <c r="D53" s="6" t="s">
        <v>115</v>
      </c>
      <c r="E53" s="6" t="s">
        <v>1180</v>
      </c>
      <c r="F53" s="6" t="s">
        <v>6371</v>
      </c>
      <c r="G53" s="5" t="s">
        <v>6868</v>
      </c>
    </row>
    <row r="54" customFormat="false" ht="72" hidden="false" customHeight="true" outlineLevel="0" collapsed="false">
      <c r="A54" s="6" t="s">
        <v>6405</v>
      </c>
      <c r="B54" s="6" t="s">
        <v>6951</v>
      </c>
      <c r="C54" s="6" t="s">
        <v>6952</v>
      </c>
      <c r="D54" s="6" t="s">
        <v>6953</v>
      </c>
      <c r="E54" s="6" t="s">
        <v>6954</v>
      </c>
      <c r="F54" s="6" t="s">
        <v>6402</v>
      </c>
      <c r="G54" s="5" t="s">
        <v>6955</v>
      </c>
    </row>
    <row r="55" customFormat="false" ht="29.25" hidden="false" customHeight="true" outlineLevel="0" collapsed="false">
      <c r="A55" s="6" t="s">
        <v>2972</v>
      </c>
      <c r="B55" s="6" t="s">
        <v>6956</v>
      </c>
      <c r="C55" s="6" t="s">
        <v>6957</v>
      </c>
      <c r="D55" s="6" t="s">
        <v>115</v>
      </c>
      <c r="E55" s="6" t="s">
        <v>1201</v>
      </c>
      <c r="F55" s="6" t="s">
        <v>6437</v>
      </c>
      <c r="G55" s="5" t="s">
        <v>6958</v>
      </c>
    </row>
    <row r="56" customFormat="false" ht="29.25" hidden="false" customHeight="true" outlineLevel="0" collapsed="false">
      <c r="A56" s="6" t="s">
        <v>6470</v>
      </c>
      <c r="B56" s="6" t="s">
        <v>6959</v>
      </c>
      <c r="C56" s="6" t="s">
        <v>6960</v>
      </c>
      <c r="D56" s="6" t="s">
        <v>115</v>
      </c>
      <c r="E56" s="6" t="s">
        <v>1201</v>
      </c>
      <c r="F56" s="6" t="s">
        <v>6467</v>
      </c>
      <c r="G56" s="5" t="s">
        <v>6848</v>
      </c>
    </row>
    <row r="57" customFormat="false" ht="43.5" hidden="false" customHeight="true" outlineLevel="0" collapsed="false">
      <c r="A57" s="6" t="s">
        <v>6492</v>
      </c>
      <c r="B57" s="6" t="s">
        <v>6961</v>
      </c>
      <c r="C57" s="6" t="s">
        <v>6962</v>
      </c>
      <c r="D57" s="6" t="s">
        <v>6963</v>
      </c>
      <c r="E57" s="6" t="s">
        <v>6954</v>
      </c>
      <c r="F57" s="6" t="s">
        <v>6489</v>
      </c>
      <c r="G57" s="5" t="s">
        <v>6964</v>
      </c>
    </row>
    <row r="58" customFormat="false" ht="54.75" hidden="false" customHeight="true" outlineLevel="0" collapsed="false">
      <c r="A58" s="6" t="s">
        <v>6529</v>
      </c>
      <c r="B58" s="6" t="s">
        <v>6965</v>
      </c>
      <c r="C58" s="6" t="s">
        <v>6966</v>
      </c>
      <c r="D58" s="6" t="s">
        <v>6967</v>
      </c>
      <c r="E58" s="6" t="s">
        <v>1189</v>
      </c>
      <c r="F58" s="6" t="s">
        <v>6526</v>
      </c>
      <c r="G58" s="5" t="s">
        <v>6968</v>
      </c>
    </row>
    <row r="59" customFormat="false" ht="29.25" hidden="false" customHeight="true" outlineLevel="0" collapsed="false">
      <c r="A59" s="6" t="s">
        <v>6555</v>
      </c>
      <c r="B59" s="6" t="s">
        <v>6969</v>
      </c>
      <c r="C59" s="6" t="s">
        <v>6970</v>
      </c>
      <c r="D59" s="6" t="s">
        <v>311</v>
      </c>
      <c r="E59" s="6" t="s">
        <v>1189</v>
      </c>
      <c r="F59" s="6" t="s">
        <v>6552</v>
      </c>
      <c r="G59" s="5" t="s">
        <v>6971</v>
      </c>
    </row>
    <row r="60" customFormat="false" ht="72" hidden="false" customHeight="true" outlineLevel="0" collapsed="false">
      <c r="A60" s="6" t="s">
        <v>6696</v>
      </c>
      <c r="B60" s="6" t="s">
        <v>6972</v>
      </c>
      <c r="C60" s="5" t="s">
        <v>6973</v>
      </c>
      <c r="D60" s="6" t="s">
        <v>6974</v>
      </c>
      <c r="E60" s="6" t="s">
        <v>5383</v>
      </c>
      <c r="F60" s="6" t="s">
        <v>6693</v>
      </c>
      <c r="G60" s="5" t="s">
        <v>6975</v>
      </c>
    </row>
    <row r="61" customFormat="false" ht="83.25" hidden="false" customHeight="true" outlineLevel="0" collapsed="false">
      <c r="A61" s="6" t="s">
        <v>1528</v>
      </c>
      <c r="B61" s="6" t="s">
        <v>6976</v>
      </c>
      <c r="C61" s="6" t="s">
        <v>6977</v>
      </c>
      <c r="D61" s="6" t="s">
        <v>6978</v>
      </c>
      <c r="E61" s="6" t="s">
        <v>1189</v>
      </c>
      <c r="F61" s="6" t="s">
        <v>6623</v>
      </c>
      <c r="G61" s="6" t="s">
        <v>6979</v>
      </c>
    </row>
    <row r="62" customFormat="false" ht="57.75" hidden="false" customHeight="true" outlineLevel="0" collapsed="false">
      <c r="A62" s="6" t="s">
        <v>1547</v>
      </c>
      <c r="B62" s="6" t="s">
        <v>6980</v>
      </c>
      <c r="C62" s="6" t="s">
        <v>6981</v>
      </c>
      <c r="D62" s="6" t="s">
        <v>6982</v>
      </c>
      <c r="E62" s="6" t="s">
        <v>6983</v>
      </c>
      <c r="F62" s="6" t="s">
        <v>6574</v>
      </c>
      <c r="G62" s="6" t="s">
        <v>6984</v>
      </c>
    </row>
    <row r="63" customFormat="false" ht="40.5" hidden="false" customHeight="true" outlineLevel="0" collapsed="false">
      <c r="A63" s="6" t="s">
        <v>6664</v>
      </c>
      <c r="B63" s="6" t="s">
        <v>6985</v>
      </c>
      <c r="C63" s="6" t="s">
        <v>6986</v>
      </c>
      <c r="D63" s="6" t="s">
        <v>6987</v>
      </c>
      <c r="E63" s="6" t="s">
        <v>1189</v>
      </c>
      <c r="F63" s="6" t="s">
        <v>6661</v>
      </c>
      <c r="G63" s="5" t="s">
        <v>6988</v>
      </c>
    </row>
    <row r="64" customFormat="false" ht="29.25" hidden="false" customHeight="true" outlineLevel="0" collapsed="false">
      <c r="A64" s="6" t="s">
        <v>6674</v>
      </c>
      <c r="B64" s="6" t="s">
        <v>6989</v>
      </c>
      <c r="C64" s="6" t="s">
        <v>6990</v>
      </c>
      <c r="D64" s="6" t="s">
        <v>6991</v>
      </c>
      <c r="E64" s="6" t="s">
        <v>1189</v>
      </c>
      <c r="F64" s="6" t="s">
        <v>6671</v>
      </c>
      <c r="G64" s="5" t="s">
        <v>6992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13" t="s">
        <v>6993</v>
      </c>
    </row>
    <row r="2" customFormat="false" ht="15" hidden="false" customHeight="true" outlineLevel="0" collapsed="false">
      <c r="A2" s="223" t="s">
        <v>6994</v>
      </c>
    </row>
    <row r="3" customFormat="false" ht="15" hidden="false" customHeight="true" outlineLevel="0" collapsed="false">
      <c r="A3" s="37" t="s">
        <v>6995</v>
      </c>
    </row>
    <row r="4" customFormat="false" ht="15" hidden="false" customHeight="true" outlineLevel="0" collapsed="false">
      <c r="A4" s="77" t="s">
        <v>566</v>
      </c>
      <c r="B4" s="214" t="s">
        <v>4853</v>
      </c>
      <c r="C4" s="214" t="s">
        <v>6996</v>
      </c>
      <c r="D4" s="214" t="s">
        <v>6997</v>
      </c>
      <c r="E4" s="214" t="s">
        <v>67</v>
      </c>
      <c r="F4" s="214" t="s">
        <v>6998</v>
      </c>
      <c r="G4" s="77" t="s">
        <v>6999</v>
      </c>
      <c r="H4" s="214" t="s">
        <v>7000</v>
      </c>
      <c r="I4" s="214" t="s">
        <v>7001</v>
      </c>
      <c r="J4" s="214" t="s">
        <v>7002</v>
      </c>
      <c r="K4" s="214" t="s">
        <v>5362</v>
      </c>
      <c r="L4" s="214" t="s">
        <v>7003</v>
      </c>
      <c r="M4" s="214" t="s">
        <v>7004</v>
      </c>
      <c r="N4" s="214" t="s">
        <v>5355</v>
      </c>
      <c r="O4" s="214" t="s">
        <v>7005</v>
      </c>
      <c r="P4" s="214" t="s">
        <v>5027</v>
      </c>
      <c r="Q4" s="214" t="s">
        <v>5352</v>
      </c>
    </row>
    <row r="5" customFormat="false" ht="30" hidden="false" customHeight="true" outlineLevel="0" collapsed="false">
      <c r="A5" s="217" t="s">
        <v>5591</v>
      </c>
      <c r="B5" s="217" t="s">
        <v>4914</v>
      </c>
      <c r="C5" s="225" t="s">
        <v>7006</v>
      </c>
      <c r="D5" s="217" t="s">
        <v>7007</v>
      </c>
      <c r="E5" s="217" t="s">
        <v>185</v>
      </c>
      <c r="F5" s="225" t="s">
        <v>7008</v>
      </c>
      <c r="G5" s="217" t="s">
        <v>7009</v>
      </c>
      <c r="H5" s="217" t="s">
        <v>7010</v>
      </c>
      <c r="I5" s="226" t="s">
        <v>7011</v>
      </c>
      <c r="J5" s="217" t="s">
        <v>7012</v>
      </c>
      <c r="K5" s="225" t="s">
        <v>7013</v>
      </c>
      <c r="L5" s="215" t="s">
        <v>7014</v>
      </c>
      <c r="M5" s="6" t="s">
        <v>7015</v>
      </c>
      <c r="N5" s="36" t="s">
        <v>587</v>
      </c>
      <c r="O5" s="36" t="s">
        <v>587</v>
      </c>
      <c r="P5" s="36" t="s">
        <v>587</v>
      </c>
      <c r="Q5" s="6" t="s">
        <v>587</v>
      </c>
    </row>
    <row r="6" customFormat="false" ht="30" hidden="false" customHeight="true" outlineLevel="0" collapsed="false">
      <c r="A6" s="217" t="s">
        <v>7016</v>
      </c>
      <c r="B6" s="217" t="s">
        <v>4914</v>
      </c>
      <c r="C6" s="225" t="s">
        <v>7017</v>
      </c>
      <c r="D6" s="217" t="s">
        <v>5886</v>
      </c>
      <c r="E6" s="217" t="s">
        <v>115</v>
      </c>
      <c r="F6" s="225" t="s">
        <v>7018</v>
      </c>
      <c r="G6" s="226" t="s">
        <v>7019</v>
      </c>
      <c r="H6" s="217" t="s">
        <v>7020</v>
      </c>
      <c r="I6" s="226" t="s">
        <v>7011</v>
      </c>
      <c r="J6" s="217" t="s">
        <v>7012</v>
      </c>
      <c r="K6" s="225"/>
      <c r="L6" s="215" t="s">
        <v>7014</v>
      </c>
      <c r="M6" s="6" t="s">
        <v>7021</v>
      </c>
      <c r="N6" s="36" t="s">
        <v>587</v>
      </c>
      <c r="O6" s="36" t="s">
        <v>587</v>
      </c>
      <c r="P6" s="36" t="s">
        <v>587</v>
      </c>
      <c r="Q6" s="6" t="s">
        <v>587</v>
      </c>
    </row>
    <row r="7" customFormat="false" ht="30" hidden="false" customHeight="true" outlineLevel="0" collapsed="false">
      <c r="A7" s="217" t="s">
        <v>7022</v>
      </c>
      <c r="B7" s="217" t="s">
        <v>4914</v>
      </c>
      <c r="C7" s="225" t="s">
        <v>7023</v>
      </c>
      <c r="D7" s="217" t="s">
        <v>5575</v>
      </c>
      <c r="E7" s="217" t="s">
        <v>185</v>
      </c>
      <c r="F7" s="225" t="s">
        <v>7024</v>
      </c>
      <c r="G7" s="226" t="s">
        <v>7019</v>
      </c>
      <c r="H7" s="217" t="s">
        <v>7025</v>
      </c>
      <c r="I7" s="226" t="s">
        <v>7011</v>
      </c>
      <c r="J7" s="217" t="s">
        <v>7012</v>
      </c>
      <c r="K7" s="225"/>
      <c r="L7" s="215" t="s">
        <v>7014</v>
      </c>
      <c r="M7" s="6" t="s">
        <v>7026</v>
      </c>
      <c r="N7" s="36" t="s">
        <v>587</v>
      </c>
      <c r="O7" s="36" t="s">
        <v>587</v>
      </c>
      <c r="P7" s="36" t="s">
        <v>587</v>
      </c>
      <c r="Q7" s="6" t="s">
        <v>587</v>
      </c>
    </row>
    <row r="8" customFormat="false" ht="30" hidden="false" customHeight="true" outlineLevel="0" collapsed="false">
      <c r="A8" s="217" t="s">
        <v>7027</v>
      </c>
      <c r="B8" s="217" t="s">
        <v>4914</v>
      </c>
      <c r="C8" s="227" t="s">
        <v>7028</v>
      </c>
      <c r="D8" s="217" t="s">
        <v>6683</v>
      </c>
      <c r="E8" s="217" t="s">
        <v>84</v>
      </c>
      <c r="F8" s="225" t="s">
        <v>7029</v>
      </c>
      <c r="G8" s="226" t="s">
        <v>7019</v>
      </c>
      <c r="H8" s="217" t="s">
        <v>7030</v>
      </c>
      <c r="I8" s="226" t="s">
        <v>7031</v>
      </c>
      <c r="J8" s="217" t="s">
        <v>7012</v>
      </c>
      <c r="K8" s="227" t="s">
        <v>7032</v>
      </c>
      <c r="L8" s="215" t="s">
        <v>7014</v>
      </c>
      <c r="M8" s="6" t="s">
        <v>7033</v>
      </c>
      <c r="N8" s="36" t="s">
        <v>587</v>
      </c>
      <c r="O8" s="36" t="s">
        <v>587</v>
      </c>
      <c r="P8" s="36" t="s">
        <v>587</v>
      </c>
      <c r="Q8" s="6" t="s">
        <v>587</v>
      </c>
    </row>
    <row r="9" customFormat="false" ht="30" hidden="false" customHeight="true" outlineLevel="0" collapsed="false">
      <c r="A9" s="217" t="s">
        <v>7034</v>
      </c>
      <c r="B9" s="217" t="s">
        <v>4914</v>
      </c>
      <c r="C9" s="225" t="s">
        <v>7035</v>
      </c>
      <c r="D9" s="217" t="s">
        <v>5935</v>
      </c>
      <c r="E9" s="217" t="s">
        <v>185</v>
      </c>
      <c r="F9" s="225" t="s">
        <v>7036</v>
      </c>
      <c r="G9" s="217" t="s">
        <v>587</v>
      </c>
      <c r="H9" s="217" t="s">
        <v>7037</v>
      </c>
      <c r="I9" s="226" t="s">
        <v>7038</v>
      </c>
      <c r="J9" s="217" t="s">
        <v>7012</v>
      </c>
      <c r="K9" s="227" t="s">
        <v>7039</v>
      </c>
      <c r="L9" s="215" t="s">
        <v>7014</v>
      </c>
      <c r="M9" s="6" t="s">
        <v>7040</v>
      </c>
      <c r="N9" s="36" t="s">
        <v>587</v>
      </c>
      <c r="O9" s="36" t="s">
        <v>587</v>
      </c>
      <c r="P9" s="36" t="s">
        <v>587</v>
      </c>
      <c r="Q9" s="6" t="s">
        <v>587</v>
      </c>
    </row>
    <row r="10" customFormat="false" ht="30" hidden="false" customHeight="true" outlineLevel="0" collapsed="false">
      <c r="A10" s="217" t="s">
        <v>7041</v>
      </c>
      <c r="B10" s="217" t="s">
        <v>4914</v>
      </c>
      <c r="C10" s="227" t="s">
        <v>7042</v>
      </c>
      <c r="D10" s="217" t="s">
        <v>5904</v>
      </c>
      <c r="E10" s="217" t="s">
        <v>84</v>
      </c>
      <c r="F10" s="225" t="s">
        <v>7043</v>
      </c>
      <c r="G10" s="217" t="s">
        <v>7044</v>
      </c>
      <c r="H10" s="226" t="s">
        <v>7045</v>
      </c>
      <c r="I10" s="226" t="s">
        <v>1195</v>
      </c>
      <c r="J10" s="217" t="s">
        <v>587</v>
      </c>
      <c r="K10" s="225" t="s">
        <v>7046</v>
      </c>
      <c r="L10" s="215" t="s">
        <v>7047</v>
      </c>
      <c r="M10" s="6" t="s">
        <v>4654</v>
      </c>
      <c r="N10" s="36" t="s">
        <v>587</v>
      </c>
      <c r="O10" s="36" t="s">
        <v>587</v>
      </c>
      <c r="P10" s="36" t="s">
        <v>587</v>
      </c>
      <c r="Q10" s="6" t="s">
        <v>587</v>
      </c>
    </row>
    <row r="11" customFormat="false" ht="30" hidden="false" customHeight="true" outlineLevel="0" collapsed="false">
      <c r="A11" s="217" t="s">
        <v>7048</v>
      </c>
      <c r="B11" s="217" t="s">
        <v>1201</v>
      </c>
      <c r="C11" s="227" t="s">
        <v>7049</v>
      </c>
      <c r="D11" s="217" t="s">
        <v>7050</v>
      </c>
      <c r="E11" s="217" t="s">
        <v>185</v>
      </c>
      <c r="F11" s="225" t="s">
        <v>7051</v>
      </c>
      <c r="G11" s="217" t="s">
        <v>7052</v>
      </c>
      <c r="H11" s="217" t="s">
        <v>7053</v>
      </c>
      <c r="I11" s="226" t="s">
        <v>7011</v>
      </c>
      <c r="J11" s="217" t="s">
        <v>7054</v>
      </c>
      <c r="K11" s="225" t="s">
        <v>7055</v>
      </c>
      <c r="L11" s="215" t="s">
        <v>7014</v>
      </c>
      <c r="M11" s="6" t="s">
        <v>7056</v>
      </c>
      <c r="N11" s="36" t="s">
        <v>587</v>
      </c>
      <c r="O11" s="36" t="s">
        <v>587</v>
      </c>
      <c r="P11" s="36" t="s">
        <v>587</v>
      </c>
      <c r="Q11" s="6" t="s">
        <v>587</v>
      </c>
    </row>
    <row r="12" customFormat="false" ht="30" hidden="false" customHeight="true" outlineLevel="0" collapsed="false">
      <c r="A12" s="217" t="s">
        <v>7057</v>
      </c>
      <c r="B12" s="217" t="s">
        <v>1201</v>
      </c>
      <c r="C12" s="227" t="s">
        <v>7058</v>
      </c>
      <c r="D12" s="217" t="s">
        <v>6923</v>
      </c>
      <c r="E12" s="217" t="s">
        <v>115</v>
      </c>
      <c r="F12" s="225" t="s">
        <v>7059</v>
      </c>
      <c r="G12" s="217" t="s">
        <v>7060</v>
      </c>
      <c r="H12" s="217" t="s">
        <v>190</v>
      </c>
      <c r="I12" s="226" t="s">
        <v>7061</v>
      </c>
      <c r="J12" s="217" t="s">
        <v>7012</v>
      </c>
      <c r="K12" s="227" t="s">
        <v>7062</v>
      </c>
      <c r="L12" s="215" t="s">
        <v>7014</v>
      </c>
      <c r="M12" s="6" t="s">
        <v>587</v>
      </c>
      <c r="N12" s="36" t="s">
        <v>587</v>
      </c>
      <c r="O12" s="36" t="s">
        <v>587</v>
      </c>
      <c r="P12" s="36" t="s">
        <v>587</v>
      </c>
      <c r="Q12" s="19" t="s">
        <v>7063</v>
      </c>
    </row>
    <row r="13" customFormat="false" ht="30" hidden="false" customHeight="true" outlineLevel="0" collapsed="false">
      <c r="A13" s="217" t="s">
        <v>7064</v>
      </c>
      <c r="B13" s="217" t="s">
        <v>1201</v>
      </c>
      <c r="C13" s="225" t="s">
        <v>7065</v>
      </c>
      <c r="D13" s="217" t="s">
        <v>6250</v>
      </c>
      <c r="E13" s="217" t="s">
        <v>84</v>
      </c>
      <c r="F13" s="225" t="s">
        <v>7066</v>
      </c>
      <c r="G13" s="217" t="s">
        <v>587</v>
      </c>
      <c r="H13" s="226" t="s">
        <v>7067</v>
      </c>
      <c r="I13" s="226" t="s">
        <v>7038</v>
      </c>
      <c r="J13" s="217" t="s">
        <v>7054</v>
      </c>
      <c r="K13" s="227" t="s">
        <v>7068</v>
      </c>
      <c r="L13" s="215" t="s">
        <v>7014</v>
      </c>
      <c r="M13" s="6" t="s">
        <v>7069</v>
      </c>
      <c r="N13" s="36" t="s">
        <v>587</v>
      </c>
      <c r="O13" s="36" t="s">
        <v>587</v>
      </c>
      <c r="P13" s="36" t="s">
        <v>587</v>
      </c>
      <c r="Q13" s="6" t="s">
        <v>587</v>
      </c>
    </row>
    <row r="14" customFormat="false" ht="30" hidden="false" customHeight="true" outlineLevel="0" collapsed="false">
      <c r="A14" s="217" t="s">
        <v>7070</v>
      </c>
      <c r="B14" s="217" t="s">
        <v>1201</v>
      </c>
      <c r="C14" s="225" t="s">
        <v>7071</v>
      </c>
      <c r="D14" s="217" t="s">
        <v>6696</v>
      </c>
      <c r="E14" s="217" t="s">
        <v>185</v>
      </c>
      <c r="F14" s="225" t="s">
        <v>7072</v>
      </c>
      <c r="G14" s="226" t="s">
        <v>7019</v>
      </c>
      <c r="H14" s="217" t="s">
        <v>7073</v>
      </c>
      <c r="I14" s="226" t="s">
        <v>7011</v>
      </c>
      <c r="J14" s="217" t="s">
        <v>7074</v>
      </c>
      <c r="K14" s="227" t="s">
        <v>7075</v>
      </c>
      <c r="L14" s="215" t="s">
        <v>7014</v>
      </c>
      <c r="M14" s="6" t="s">
        <v>7076</v>
      </c>
      <c r="N14" s="36" t="s">
        <v>587</v>
      </c>
      <c r="O14" s="36" t="s">
        <v>587</v>
      </c>
      <c r="P14" s="36" t="s">
        <v>587</v>
      </c>
      <c r="Q14" s="6" t="s">
        <v>587</v>
      </c>
    </row>
    <row r="15" customFormat="false" ht="30" hidden="false" customHeight="true" outlineLevel="0" collapsed="false">
      <c r="A15" s="217" t="s">
        <v>7077</v>
      </c>
      <c r="B15" s="217" t="s">
        <v>1201</v>
      </c>
      <c r="C15" s="225" t="s">
        <v>7078</v>
      </c>
      <c r="D15" s="217" t="s">
        <v>2972</v>
      </c>
      <c r="E15" s="217" t="s">
        <v>115</v>
      </c>
      <c r="F15" s="225" t="s">
        <v>7079</v>
      </c>
      <c r="G15" s="226" t="s">
        <v>7080</v>
      </c>
      <c r="H15" s="226" t="s">
        <v>7081</v>
      </c>
      <c r="I15" s="226" t="s">
        <v>7011</v>
      </c>
      <c r="J15" s="217" t="s">
        <v>7074</v>
      </c>
      <c r="K15" s="227" t="s">
        <v>7082</v>
      </c>
      <c r="L15" s="215" t="s">
        <v>7014</v>
      </c>
      <c r="M15" s="6" t="s">
        <v>7083</v>
      </c>
      <c r="N15" s="36" t="s">
        <v>587</v>
      </c>
      <c r="O15" s="36" t="s">
        <v>587</v>
      </c>
      <c r="P15" s="36" t="s">
        <v>587</v>
      </c>
      <c r="Q15" s="6" t="s">
        <v>587</v>
      </c>
    </row>
    <row r="16" customFormat="false" ht="30" hidden="false" customHeight="true" outlineLevel="0" collapsed="false">
      <c r="A16" s="217" t="s">
        <v>7084</v>
      </c>
      <c r="B16" s="217" t="s">
        <v>1201</v>
      </c>
      <c r="C16" s="227" t="s">
        <v>7085</v>
      </c>
      <c r="D16" s="217" t="s">
        <v>7086</v>
      </c>
      <c r="E16" s="217" t="s">
        <v>185</v>
      </c>
      <c r="F16" s="225" t="s">
        <v>7087</v>
      </c>
      <c r="G16" s="217" t="s">
        <v>587</v>
      </c>
      <c r="H16" s="226" t="s">
        <v>7088</v>
      </c>
      <c r="I16" s="226" t="s">
        <v>7038</v>
      </c>
      <c r="J16" s="217" t="s">
        <v>7074</v>
      </c>
      <c r="K16" s="227" t="s">
        <v>7089</v>
      </c>
      <c r="L16" s="215" t="s">
        <v>7014</v>
      </c>
      <c r="M16" s="6" t="s">
        <v>7090</v>
      </c>
      <c r="N16" s="36" t="s">
        <v>587</v>
      </c>
      <c r="O16" s="36" t="s">
        <v>587</v>
      </c>
      <c r="P16" s="36" t="s">
        <v>587</v>
      </c>
      <c r="Q16" s="6" t="s">
        <v>587</v>
      </c>
    </row>
    <row r="17" customFormat="false" ht="30" hidden="false" customHeight="true" outlineLevel="0" collapsed="false">
      <c r="A17" s="217" t="s">
        <v>7091</v>
      </c>
      <c r="B17" s="217" t="s">
        <v>1201</v>
      </c>
      <c r="C17" s="225" t="s">
        <v>7092</v>
      </c>
      <c r="D17" s="217" t="s">
        <v>6529</v>
      </c>
      <c r="E17" s="217" t="s">
        <v>311</v>
      </c>
      <c r="F17" s="225" t="s">
        <v>7093</v>
      </c>
      <c r="G17" s="217" t="s">
        <v>587</v>
      </c>
      <c r="H17" s="217" t="s">
        <v>7094</v>
      </c>
      <c r="I17" s="226" t="s">
        <v>7038</v>
      </c>
      <c r="J17" s="217" t="s">
        <v>7074</v>
      </c>
      <c r="K17" s="227" t="s">
        <v>7095</v>
      </c>
      <c r="L17" s="215" t="s">
        <v>7014</v>
      </c>
      <c r="M17" s="6" t="s">
        <v>7096</v>
      </c>
      <c r="N17" s="36" t="s">
        <v>587</v>
      </c>
      <c r="O17" s="36" t="s">
        <v>587</v>
      </c>
      <c r="P17" s="36" t="s">
        <v>587</v>
      </c>
      <c r="Q17" s="6" t="s">
        <v>587</v>
      </c>
    </row>
    <row r="18" customFormat="false" ht="30" hidden="false" customHeight="true" outlineLevel="0" collapsed="false">
      <c r="A18" s="217" t="s">
        <v>7097</v>
      </c>
      <c r="B18" s="217" t="s">
        <v>1201</v>
      </c>
      <c r="C18" s="225" t="s">
        <v>7098</v>
      </c>
      <c r="D18" s="217" t="s">
        <v>6405</v>
      </c>
      <c r="E18" s="217" t="s">
        <v>185</v>
      </c>
      <c r="F18" s="225" t="s">
        <v>7099</v>
      </c>
      <c r="G18" s="217" t="s">
        <v>587</v>
      </c>
      <c r="H18" s="226" t="s">
        <v>7100</v>
      </c>
      <c r="I18" s="226" t="s">
        <v>1195</v>
      </c>
      <c r="J18" s="217" t="s">
        <v>587</v>
      </c>
      <c r="K18" s="227" t="s">
        <v>7101</v>
      </c>
      <c r="L18" s="215" t="s">
        <v>7047</v>
      </c>
      <c r="M18" s="6" t="s">
        <v>7102</v>
      </c>
      <c r="N18" s="36" t="s">
        <v>587</v>
      </c>
      <c r="O18" s="36" t="s">
        <v>587</v>
      </c>
      <c r="P18" s="36" t="s">
        <v>587</v>
      </c>
      <c r="Q18" s="6" t="s">
        <v>587</v>
      </c>
    </row>
    <row r="19" customFormat="false" ht="30" hidden="false" customHeight="true" outlineLevel="0" collapsed="false">
      <c r="A19" s="217" t="s">
        <v>7103</v>
      </c>
      <c r="B19" s="217" t="s">
        <v>1201</v>
      </c>
      <c r="C19" s="225" t="s">
        <v>7104</v>
      </c>
      <c r="D19" s="217" t="s">
        <v>6492</v>
      </c>
      <c r="E19" s="217" t="s">
        <v>185</v>
      </c>
      <c r="F19" s="225" t="s">
        <v>7105</v>
      </c>
      <c r="G19" s="217" t="s">
        <v>587</v>
      </c>
      <c r="H19" s="226" t="s">
        <v>1217</v>
      </c>
      <c r="I19" s="226" t="s">
        <v>1195</v>
      </c>
      <c r="J19" s="217" t="s">
        <v>587</v>
      </c>
      <c r="K19" s="225"/>
      <c r="L19" s="215" t="s">
        <v>7047</v>
      </c>
      <c r="M19" s="6" t="s">
        <v>7106</v>
      </c>
      <c r="N19" s="36" t="s">
        <v>587</v>
      </c>
      <c r="O19" s="36" t="s">
        <v>587</v>
      </c>
      <c r="P19" s="36" t="s">
        <v>587</v>
      </c>
      <c r="Q19" s="6" t="s">
        <v>587</v>
      </c>
    </row>
    <row r="20" customFormat="false" ht="30" hidden="false" customHeight="true" outlineLevel="0" collapsed="false">
      <c r="A20" s="217" t="s">
        <v>7107</v>
      </c>
      <c r="B20" s="217" t="s">
        <v>1201</v>
      </c>
      <c r="C20" s="225" t="s">
        <v>7108</v>
      </c>
      <c r="D20" s="217" t="s">
        <v>1528</v>
      </c>
      <c r="E20" s="217" t="s">
        <v>7109</v>
      </c>
      <c r="F20" s="225" t="s">
        <v>7110</v>
      </c>
      <c r="G20" s="226" t="s">
        <v>7019</v>
      </c>
      <c r="H20" s="217" t="s">
        <v>7111</v>
      </c>
      <c r="I20" s="226" t="s">
        <v>7038</v>
      </c>
      <c r="J20" s="217" t="s">
        <v>7112</v>
      </c>
      <c r="K20" s="227" t="s">
        <v>7113</v>
      </c>
      <c r="L20" s="215" t="s">
        <v>7014</v>
      </c>
      <c r="M20" s="6" t="s">
        <v>7114</v>
      </c>
      <c r="N20" s="36" t="s">
        <v>587</v>
      </c>
      <c r="O20" s="36" t="s">
        <v>587</v>
      </c>
      <c r="P20" s="36" t="s">
        <v>587</v>
      </c>
      <c r="Q20" s="6" t="s">
        <v>587</v>
      </c>
    </row>
    <row r="21" customFormat="false" ht="30" hidden="false" customHeight="true" outlineLevel="0" collapsed="false">
      <c r="A21" s="217" t="s">
        <v>7115</v>
      </c>
      <c r="B21" s="217" t="s">
        <v>1201</v>
      </c>
      <c r="C21" s="225" t="s">
        <v>7116</v>
      </c>
      <c r="D21" s="217" t="s">
        <v>6616</v>
      </c>
      <c r="E21" s="217" t="s">
        <v>185</v>
      </c>
      <c r="F21" s="225" t="s">
        <v>7117</v>
      </c>
      <c r="G21" s="217" t="s">
        <v>587</v>
      </c>
      <c r="H21" s="217" t="s">
        <v>7118</v>
      </c>
      <c r="I21" s="226" t="s">
        <v>7038</v>
      </c>
      <c r="J21" s="217" t="s">
        <v>7112</v>
      </c>
      <c r="K21" s="225" t="s">
        <v>7119</v>
      </c>
      <c r="L21" s="215" t="s">
        <v>7014</v>
      </c>
      <c r="M21" s="6" t="s">
        <v>7120</v>
      </c>
      <c r="N21" s="36" t="s">
        <v>587</v>
      </c>
      <c r="O21" s="36" t="s">
        <v>587</v>
      </c>
      <c r="P21" s="36" t="s">
        <v>587</v>
      </c>
      <c r="Q21" s="6" t="s">
        <v>587</v>
      </c>
    </row>
    <row r="22" customFormat="false" ht="30" hidden="false" customHeight="true" outlineLevel="0" collapsed="false">
      <c r="A22" s="217" t="s">
        <v>7121</v>
      </c>
      <c r="B22" s="217" t="s">
        <v>1201</v>
      </c>
      <c r="C22" s="225" t="s">
        <v>7122</v>
      </c>
      <c r="D22" s="217" t="s">
        <v>1547</v>
      </c>
      <c r="E22" s="217" t="s">
        <v>311</v>
      </c>
      <c r="F22" s="225" t="s">
        <v>7123</v>
      </c>
      <c r="G22" s="217" t="s">
        <v>587</v>
      </c>
      <c r="H22" s="217" t="s">
        <v>7124</v>
      </c>
      <c r="I22" s="226" t="s">
        <v>7038</v>
      </c>
      <c r="J22" s="217" t="s">
        <v>7112</v>
      </c>
      <c r="K22" s="225" t="s">
        <v>7125</v>
      </c>
      <c r="L22" s="215" t="s">
        <v>7014</v>
      </c>
      <c r="M22" s="6" t="s">
        <v>7126</v>
      </c>
      <c r="N22" s="36" t="s">
        <v>587</v>
      </c>
      <c r="O22" s="36" t="s">
        <v>587</v>
      </c>
      <c r="P22" s="36" t="s">
        <v>587</v>
      </c>
      <c r="Q22" s="6" t="s">
        <v>587</v>
      </c>
    </row>
    <row r="23" customFormat="false" ht="30" hidden="false" customHeight="true" outlineLevel="0" collapsed="false">
      <c r="A23" s="217" t="s">
        <v>7127</v>
      </c>
      <c r="B23" s="217" t="s">
        <v>1201</v>
      </c>
      <c r="C23" s="225" t="s">
        <v>7128</v>
      </c>
      <c r="D23" s="217" t="s">
        <v>1547</v>
      </c>
      <c r="E23" s="217" t="s">
        <v>311</v>
      </c>
      <c r="F23" s="225" t="s">
        <v>7129</v>
      </c>
      <c r="G23" s="217" t="s">
        <v>587</v>
      </c>
      <c r="H23" s="217" t="s">
        <v>7130</v>
      </c>
      <c r="I23" s="226" t="s">
        <v>7011</v>
      </c>
      <c r="J23" s="217" t="s">
        <v>7112</v>
      </c>
      <c r="K23" s="225"/>
      <c r="L23" s="215" t="s">
        <v>7014</v>
      </c>
      <c r="M23" s="6" t="s">
        <v>7126</v>
      </c>
      <c r="N23" s="36" t="s">
        <v>587</v>
      </c>
      <c r="O23" s="36" t="s">
        <v>587</v>
      </c>
      <c r="P23" s="36" t="s">
        <v>587</v>
      </c>
      <c r="Q23" s="6" t="s">
        <v>587</v>
      </c>
    </row>
    <row r="24" customFormat="false" ht="30" hidden="false" customHeight="true" outlineLevel="0" collapsed="false">
      <c r="A24" s="217" t="s">
        <v>7131</v>
      </c>
      <c r="B24" s="217" t="s">
        <v>1201</v>
      </c>
      <c r="C24" s="225" t="s">
        <v>7132</v>
      </c>
      <c r="D24" s="217" t="s">
        <v>6674</v>
      </c>
      <c r="E24" s="217" t="s">
        <v>185</v>
      </c>
      <c r="F24" s="225" t="s">
        <v>7133</v>
      </c>
      <c r="G24" s="217" t="s">
        <v>7134</v>
      </c>
      <c r="H24" s="217" t="s">
        <v>7135</v>
      </c>
      <c r="I24" s="226" t="s">
        <v>1195</v>
      </c>
      <c r="J24" s="217" t="s">
        <v>587</v>
      </c>
      <c r="K24" s="227" t="s">
        <v>7136</v>
      </c>
      <c r="L24" s="215" t="s">
        <v>7047</v>
      </c>
      <c r="M24" s="6" t="s">
        <v>6668</v>
      </c>
      <c r="N24" s="36" t="s">
        <v>587</v>
      </c>
      <c r="O24" s="36" t="s">
        <v>587</v>
      </c>
      <c r="P24" s="36" t="s">
        <v>587</v>
      </c>
      <c r="Q24" s="6" t="s">
        <v>587</v>
      </c>
    </row>
    <row r="25" customFormat="false" ht="29.25" hidden="false" customHeight="true" outlineLevel="0" collapsed="false">
      <c r="A25" s="217" t="s">
        <v>7137</v>
      </c>
      <c r="B25" s="217" t="s">
        <v>4977</v>
      </c>
      <c r="C25" s="225" t="s">
        <v>7138</v>
      </c>
      <c r="D25" s="217" t="s">
        <v>5150</v>
      </c>
      <c r="E25" s="226" t="s">
        <v>7139</v>
      </c>
      <c r="F25" s="226" t="s">
        <v>7140</v>
      </c>
      <c r="G25" s="217" t="s">
        <v>587</v>
      </c>
      <c r="H25" s="217" t="s">
        <v>587</v>
      </c>
      <c r="I25" s="226" t="s">
        <v>7141</v>
      </c>
      <c r="J25" s="217" t="s">
        <v>7142</v>
      </c>
      <c r="K25" s="225" t="s">
        <v>7143</v>
      </c>
      <c r="L25" s="215" t="s">
        <v>7014</v>
      </c>
      <c r="M25" s="6" t="s">
        <v>3371</v>
      </c>
      <c r="N25" s="36" t="s">
        <v>587</v>
      </c>
      <c r="O25" s="36" t="s">
        <v>587</v>
      </c>
      <c r="P25" s="36" t="s">
        <v>7144</v>
      </c>
      <c r="Q25" s="215" t="s">
        <v>5373</v>
      </c>
    </row>
    <row r="26" customFormat="false" ht="29.25" hidden="false" customHeight="true" outlineLevel="0" collapsed="false">
      <c r="A26" s="217" t="s">
        <v>5387</v>
      </c>
      <c r="B26" s="217" t="s">
        <v>4977</v>
      </c>
      <c r="C26" s="225" t="s">
        <v>7145</v>
      </c>
      <c r="D26" s="217" t="s">
        <v>5159</v>
      </c>
      <c r="E26" s="226" t="s">
        <v>7139</v>
      </c>
      <c r="F26" s="226" t="s">
        <v>7140</v>
      </c>
      <c r="G26" s="217" t="s">
        <v>587</v>
      </c>
      <c r="H26" s="217" t="s">
        <v>587</v>
      </c>
      <c r="I26" s="226" t="s">
        <v>7141</v>
      </c>
      <c r="J26" s="217" t="s">
        <v>7142</v>
      </c>
      <c r="K26" s="225" t="s">
        <v>7143</v>
      </c>
      <c r="L26" s="215" t="s">
        <v>7014</v>
      </c>
      <c r="M26" s="6" t="s">
        <v>7146</v>
      </c>
      <c r="N26" s="36" t="s">
        <v>587</v>
      </c>
      <c r="O26" s="36" t="s">
        <v>587</v>
      </c>
      <c r="P26" s="36" t="s">
        <v>7144</v>
      </c>
      <c r="Q26" s="215" t="s">
        <v>5373</v>
      </c>
    </row>
    <row r="27" customFormat="false" ht="29.25" hidden="false" customHeight="true" outlineLevel="0" collapsed="false">
      <c r="A27" s="217" t="s">
        <v>7147</v>
      </c>
      <c r="B27" s="217" t="s">
        <v>4977</v>
      </c>
      <c r="C27" s="225" t="s">
        <v>7148</v>
      </c>
      <c r="D27" s="217" t="s">
        <v>5401</v>
      </c>
      <c r="E27" s="226" t="s">
        <v>7139</v>
      </c>
      <c r="F27" s="226" t="s">
        <v>7140</v>
      </c>
      <c r="G27" s="217" t="s">
        <v>587</v>
      </c>
      <c r="H27" s="217" t="s">
        <v>587</v>
      </c>
      <c r="I27" s="226" t="s">
        <v>7141</v>
      </c>
      <c r="J27" s="217" t="s">
        <v>7142</v>
      </c>
      <c r="K27" s="225" t="s">
        <v>7143</v>
      </c>
      <c r="L27" s="215" t="s">
        <v>7014</v>
      </c>
      <c r="M27" s="6" t="s">
        <v>7149</v>
      </c>
      <c r="N27" s="36" t="s">
        <v>587</v>
      </c>
      <c r="O27" s="36" t="s">
        <v>587</v>
      </c>
      <c r="P27" s="36" t="s">
        <v>7144</v>
      </c>
      <c r="Q27" s="215" t="s">
        <v>5373</v>
      </c>
    </row>
    <row r="28" customFormat="false" ht="29.25" hidden="false" customHeight="true" outlineLevel="0" collapsed="false">
      <c r="A28" s="217" t="s">
        <v>5421</v>
      </c>
      <c r="B28" s="217" t="s">
        <v>4977</v>
      </c>
      <c r="C28" s="225" t="s">
        <v>7150</v>
      </c>
      <c r="D28" s="217" t="s">
        <v>5417</v>
      </c>
      <c r="E28" s="226" t="s">
        <v>7139</v>
      </c>
      <c r="F28" s="226" t="s">
        <v>7140</v>
      </c>
      <c r="G28" s="217" t="s">
        <v>587</v>
      </c>
      <c r="H28" s="217" t="s">
        <v>587</v>
      </c>
      <c r="I28" s="226" t="s">
        <v>7141</v>
      </c>
      <c r="J28" s="217" t="s">
        <v>7142</v>
      </c>
      <c r="K28" s="225" t="s">
        <v>7143</v>
      </c>
      <c r="L28" s="215" t="s">
        <v>7014</v>
      </c>
      <c r="M28" s="6" t="s">
        <v>7151</v>
      </c>
      <c r="N28" s="36" t="s">
        <v>587</v>
      </c>
      <c r="O28" s="36" t="s">
        <v>587</v>
      </c>
      <c r="P28" s="36" t="s">
        <v>7144</v>
      </c>
      <c r="Q28" s="215" t="s">
        <v>5373</v>
      </c>
    </row>
    <row r="29" customFormat="false" ht="29.25" hidden="false" customHeight="true" outlineLevel="0" collapsed="false">
      <c r="A29" s="217" t="s">
        <v>5432</v>
      </c>
      <c r="B29" s="217" t="s">
        <v>4977</v>
      </c>
      <c r="C29" s="225" t="s">
        <v>7152</v>
      </c>
      <c r="D29" s="217" t="s">
        <v>5433</v>
      </c>
      <c r="E29" s="226" t="s">
        <v>7139</v>
      </c>
      <c r="F29" s="226" t="s">
        <v>7140</v>
      </c>
      <c r="G29" s="217" t="s">
        <v>587</v>
      </c>
      <c r="H29" s="217" t="s">
        <v>587</v>
      </c>
      <c r="I29" s="226" t="s">
        <v>7141</v>
      </c>
      <c r="J29" s="217" t="s">
        <v>7142</v>
      </c>
      <c r="K29" s="225" t="s">
        <v>7143</v>
      </c>
      <c r="L29" s="215" t="s">
        <v>7014</v>
      </c>
      <c r="M29" s="6" t="s">
        <v>5427</v>
      </c>
      <c r="N29" s="36" t="s">
        <v>587</v>
      </c>
      <c r="O29" s="36" t="s">
        <v>587</v>
      </c>
      <c r="P29" s="36" t="s">
        <v>7144</v>
      </c>
      <c r="Q29" s="215" t="s">
        <v>5373</v>
      </c>
    </row>
    <row r="30" customFormat="false" ht="29.25" hidden="false" customHeight="true" outlineLevel="0" collapsed="false">
      <c r="A30" s="217" t="s">
        <v>7153</v>
      </c>
      <c r="B30" s="217" t="s">
        <v>4977</v>
      </c>
      <c r="C30" s="225" t="s">
        <v>7154</v>
      </c>
      <c r="D30" s="217" t="s">
        <v>5440</v>
      </c>
      <c r="E30" s="226" t="s">
        <v>7139</v>
      </c>
      <c r="F30" s="226" t="s">
        <v>7140</v>
      </c>
      <c r="G30" s="217" t="s">
        <v>587</v>
      </c>
      <c r="H30" s="217" t="s">
        <v>587</v>
      </c>
      <c r="I30" s="226" t="s">
        <v>7141</v>
      </c>
      <c r="J30" s="217" t="s">
        <v>7142</v>
      </c>
      <c r="K30" s="225" t="s">
        <v>7143</v>
      </c>
      <c r="L30" s="215" t="s">
        <v>7014</v>
      </c>
      <c r="M30" s="6" t="s">
        <v>3428</v>
      </c>
      <c r="N30" s="36" t="s">
        <v>587</v>
      </c>
      <c r="O30" s="36" t="s">
        <v>587</v>
      </c>
      <c r="P30" s="36" t="s">
        <v>7144</v>
      </c>
      <c r="Q30" s="215" t="s">
        <v>5373</v>
      </c>
    </row>
    <row r="31" customFormat="false" ht="29.25" hidden="false" customHeight="true" outlineLevel="0" collapsed="false">
      <c r="A31" s="217" t="s">
        <v>5454</v>
      </c>
      <c r="B31" s="217" t="s">
        <v>4977</v>
      </c>
      <c r="C31" s="225" t="s">
        <v>7155</v>
      </c>
      <c r="D31" s="217" t="s">
        <v>5448</v>
      </c>
      <c r="E31" s="226" t="s">
        <v>7139</v>
      </c>
      <c r="F31" s="226" t="s">
        <v>7140</v>
      </c>
      <c r="G31" s="217" t="s">
        <v>587</v>
      </c>
      <c r="H31" s="217" t="s">
        <v>587</v>
      </c>
      <c r="I31" s="226" t="s">
        <v>7141</v>
      </c>
      <c r="J31" s="217" t="s">
        <v>7142</v>
      </c>
      <c r="K31" s="225" t="s">
        <v>7143</v>
      </c>
      <c r="L31" s="215" t="s">
        <v>7014</v>
      </c>
      <c r="M31" s="6" t="s">
        <v>7156</v>
      </c>
      <c r="N31" s="36" t="s">
        <v>587</v>
      </c>
      <c r="O31" s="36" t="s">
        <v>587</v>
      </c>
      <c r="P31" s="36" t="s">
        <v>7144</v>
      </c>
      <c r="Q31" s="215" t="s">
        <v>5373</v>
      </c>
    </row>
    <row r="32" customFormat="false" ht="29.25" hidden="false" customHeight="true" outlineLevel="0" collapsed="false">
      <c r="A32" s="217" t="s">
        <v>7157</v>
      </c>
      <c r="B32" s="217" t="s">
        <v>4977</v>
      </c>
      <c r="C32" s="225" t="s">
        <v>7158</v>
      </c>
      <c r="D32" s="217" t="s">
        <v>5470</v>
      </c>
      <c r="E32" s="226" t="s">
        <v>7139</v>
      </c>
      <c r="F32" s="226" t="s">
        <v>7140</v>
      </c>
      <c r="G32" s="217" t="s">
        <v>587</v>
      </c>
      <c r="H32" s="217" t="s">
        <v>587</v>
      </c>
      <c r="I32" s="226" t="s">
        <v>7141</v>
      </c>
      <c r="J32" s="217" t="s">
        <v>7142</v>
      </c>
      <c r="K32" s="225" t="s">
        <v>7143</v>
      </c>
      <c r="L32" s="215" t="s">
        <v>7014</v>
      </c>
      <c r="M32" s="6" t="s">
        <v>3382</v>
      </c>
      <c r="N32" s="36" t="s">
        <v>587</v>
      </c>
      <c r="O32" s="36" t="s">
        <v>587</v>
      </c>
      <c r="P32" s="36" t="s">
        <v>7144</v>
      </c>
      <c r="Q32" s="215" t="s">
        <v>5373</v>
      </c>
    </row>
    <row r="33" customFormat="false" ht="29.25" hidden="false" customHeight="true" outlineLevel="0" collapsed="false">
      <c r="A33" s="217" t="s">
        <v>5487</v>
      </c>
      <c r="B33" s="217" t="s">
        <v>4977</v>
      </c>
      <c r="C33" s="225" t="s">
        <v>7159</v>
      </c>
      <c r="D33" s="217" t="s">
        <v>5480</v>
      </c>
      <c r="E33" s="226" t="s">
        <v>7139</v>
      </c>
      <c r="F33" s="226" t="s">
        <v>7140</v>
      </c>
      <c r="G33" s="217" t="s">
        <v>587</v>
      </c>
      <c r="H33" s="217" t="s">
        <v>587</v>
      </c>
      <c r="I33" s="226" t="s">
        <v>7141</v>
      </c>
      <c r="J33" s="217" t="s">
        <v>7142</v>
      </c>
      <c r="K33" s="225" t="s">
        <v>7143</v>
      </c>
      <c r="L33" s="215" t="s">
        <v>7014</v>
      </c>
      <c r="M33" s="6" t="s">
        <v>7160</v>
      </c>
      <c r="N33" s="36" t="s">
        <v>587</v>
      </c>
      <c r="O33" s="36" t="s">
        <v>587</v>
      </c>
      <c r="P33" s="36" t="s">
        <v>7144</v>
      </c>
      <c r="Q33" s="215" t="s">
        <v>5477</v>
      </c>
    </row>
    <row r="34" customFormat="false" ht="29.25" hidden="false" customHeight="true" outlineLevel="0" collapsed="false">
      <c r="A34" s="217" t="s">
        <v>5497</v>
      </c>
      <c r="B34" s="217" t="s">
        <v>4977</v>
      </c>
      <c r="C34" s="225" t="s">
        <v>7161</v>
      </c>
      <c r="D34" s="217" t="s">
        <v>5498</v>
      </c>
      <c r="E34" s="226" t="s">
        <v>7139</v>
      </c>
      <c r="F34" s="226" t="s">
        <v>7140</v>
      </c>
      <c r="G34" s="217" t="s">
        <v>587</v>
      </c>
      <c r="H34" s="217" t="s">
        <v>587</v>
      </c>
      <c r="I34" s="226" t="s">
        <v>7141</v>
      </c>
      <c r="J34" s="217" t="s">
        <v>7142</v>
      </c>
      <c r="K34" s="225" t="s">
        <v>7143</v>
      </c>
      <c r="L34" s="215" t="s">
        <v>7014</v>
      </c>
      <c r="M34" s="6" t="s">
        <v>5493</v>
      </c>
      <c r="N34" s="36" t="s">
        <v>587</v>
      </c>
      <c r="O34" s="36" t="s">
        <v>587</v>
      </c>
      <c r="P34" s="36" t="s">
        <v>7144</v>
      </c>
      <c r="Q34" s="215" t="s">
        <v>5373</v>
      </c>
    </row>
    <row r="35" customFormat="false" ht="97.5" hidden="false" customHeight="true" outlineLevel="0" collapsed="false">
      <c r="A35" s="217" t="s">
        <v>5506</v>
      </c>
      <c r="B35" s="217" t="s">
        <v>4977</v>
      </c>
      <c r="C35" s="225" t="s">
        <v>7162</v>
      </c>
      <c r="D35" s="217" t="s">
        <v>5507</v>
      </c>
      <c r="E35" s="226" t="s">
        <v>7139</v>
      </c>
      <c r="F35" s="226" t="s">
        <v>7140</v>
      </c>
      <c r="G35" s="217" t="s">
        <v>587</v>
      </c>
      <c r="H35" s="217" t="s">
        <v>587</v>
      </c>
      <c r="I35" s="226" t="s">
        <v>7141</v>
      </c>
      <c r="J35" s="217" t="s">
        <v>7142</v>
      </c>
      <c r="K35" s="225" t="s">
        <v>7143</v>
      </c>
      <c r="L35" s="215" t="s">
        <v>7014</v>
      </c>
      <c r="M35" s="6" t="s">
        <v>7163</v>
      </c>
      <c r="N35" s="36" t="s">
        <v>587</v>
      </c>
      <c r="O35" s="36" t="s">
        <v>587</v>
      </c>
      <c r="P35" s="36" t="s">
        <v>7144</v>
      </c>
      <c r="Q35" s="215" t="s">
        <v>5373</v>
      </c>
    </row>
    <row r="36" customFormat="false" ht="29.25" hidden="false" customHeight="true" outlineLevel="0" collapsed="false">
      <c r="A36" s="217" t="s">
        <v>5555</v>
      </c>
      <c r="B36" s="217" t="s">
        <v>4977</v>
      </c>
      <c r="C36" s="225" t="s">
        <v>7164</v>
      </c>
      <c r="D36" s="217" t="s">
        <v>5556</v>
      </c>
      <c r="E36" s="226" t="s">
        <v>7139</v>
      </c>
      <c r="F36" s="226" t="s">
        <v>7140</v>
      </c>
      <c r="G36" s="217" t="s">
        <v>587</v>
      </c>
      <c r="H36" s="217" t="s">
        <v>587</v>
      </c>
      <c r="I36" s="226" t="s">
        <v>7141</v>
      </c>
      <c r="J36" s="217" t="s">
        <v>7142</v>
      </c>
      <c r="K36" s="225" t="s">
        <v>7143</v>
      </c>
      <c r="L36" s="215" t="s">
        <v>7014</v>
      </c>
      <c r="M36" s="6" t="s">
        <v>7165</v>
      </c>
      <c r="N36" s="36" t="s">
        <v>587</v>
      </c>
      <c r="O36" s="36" t="s">
        <v>587</v>
      </c>
      <c r="P36" s="36" t="s">
        <v>7144</v>
      </c>
      <c r="Q36" s="215" t="s">
        <v>5477</v>
      </c>
    </row>
    <row r="37" customFormat="false" ht="29.25" hidden="false" customHeight="true" outlineLevel="0" collapsed="false">
      <c r="A37" s="217" t="s">
        <v>7166</v>
      </c>
      <c r="B37" s="217" t="s">
        <v>4977</v>
      </c>
      <c r="C37" s="225" t="s">
        <v>7167</v>
      </c>
      <c r="D37" s="217" t="s">
        <v>5575</v>
      </c>
      <c r="E37" s="226" t="s">
        <v>7139</v>
      </c>
      <c r="F37" s="226" t="s">
        <v>7140</v>
      </c>
      <c r="G37" s="217" t="s">
        <v>587</v>
      </c>
      <c r="H37" s="217" t="s">
        <v>587</v>
      </c>
      <c r="I37" s="226" t="s">
        <v>7141</v>
      </c>
      <c r="J37" s="217" t="s">
        <v>7142</v>
      </c>
      <c r="K37" s="225" t="s">
        <v>7143</v>
      </c>
      <c r="L37" s="215" t="s">
        <v>7014</v>
      </c>
      <c r="M37" s="6" t="s">
        <v>7026</v>
      </c>
      <c r="N37" s="36" t="s">
        <v>587</v>
      </c>
      <c r="O37" s="36" t="s">
        <v>587</v>
      </c>
      <c r="P37" s="36" t="s">
        <v>7168</v>
      </c>
      <c r="Q37" s="215" t="s">
        <v>5373</v>
      </c>
    </row>
    <row r="38" customFormat="false" ht="29.25" hidden="false" customHeight="true" outlineLevel="0" collapsed="false">
      <c r="A38" s="217" t="s">
        <v>7169</v>
      </c>
      <c r="B38" s="217" t="s">
        <v>4977</v>
      </c>
      <c r="C38" s="225" t="s">
        <v>7170</v>
      </c>
      <c r="D38" s="217" t="s">
        <v>5591</v>
      </c>
      <c r="E38" s="226" t="s">
        <v>7139</v>
      </c>
      <c r="F38" s="226" t="s">
        <v>7140</v>
      </c>
      <c r="G38" s="217" t="s">
        <v>587</v>
      </c>
      <c r="H38" s="217" t="s">
        <v>587</v>
      </c>
      <c r="I38" s="226" t="s">
        <v>7141</v>
      </c>
      <c r="J38" s="217" t="s">
        <v>7142</v>
      </c>
      <c r="K38" s="225" t="s">
        <v>7143</v>
      </c>
      <c r="L38" s="215" t="s">
        <v>7014</v>
      </c>
      <c r="M38" s="6" t="s">
        <v>3454</v>
      </c>
      <c r="N38" s="36" t="s">
        <v>587</v>
      </c>
      <c r="O38" s="36" t="s">
        <v>587</v>
      </c>
      <c r="P38" s="36" t="s">
        <v>7144</v>
      </c>
      <c r="Q38" s="215" t="s">
        <v>5373</v>
      </c>
    </row>
    <row r="39" customFormat="false" ht="72" hidden="false" customHeight="true" outlineLevel="0" collapsed="false">
      <c r="A39" s="217" t="s">
        <v>5598</v>
      </c>
      <c r="B39" s="217" t="s">
        <v>4977</v>
      </c>
      <c r="C39" s="225" t="s">
        <v>7171</v>
      </c>
      <c r="D39" s="217" t="s">
        <v>5599</v>
      </c>
      <c r="E39" s="226" t="s">
        <v>7139</v>
      </c>
      <c r="F39" s="226" t="s">
        <v>7140</v>
      </c>
      <c r="G39" s="217" t="s">
        <v>587</v>
      </c>
      <c r="H39" s="217" t="s">
        <v>587</v>
      </c>
      <c r="I39" s="226" t="s">
        <v>7141</v>
      </c>
      <c r="J39" s="217" t="s">
        <v>7142</v>
      </c>
      <c r="K39" s="225" t="s">
        <v>7143</v>
      </c>
      <c r="L39" s="215" t="s">
        <v>7014</v>
      </c>
      <c r="M39" s="6" t="s">
        <v>7172</v>
      </c>
      <c r="N39" s="36" t="s">
        <v>587</v>
      </c>
      <c r="O39" s="36" t="s">
        <v>587</v>
      </c>
      <c r="P39" s="36" t="s">
        <v>7144</v>
      </c>
      <c r="Q39" s="215" t="s">
        <v>5373</v>
      </c>
    </row>
    <row r="40" customFormat="false" ht="29.25" hidden="false" customHeight="true" outlineLevel="0" collapsed="false">
      <c r="A40" s="217" t="s">
        <v>5643</v>
      </c>
      <c r="B40" s="217" t="s">
        <v>4977</v>
      </c>
      <c r="C40" s="225" t="s">
        <v>7173</v>
      </c>
      <c r="D40" s="217" t="s">
        <v>5644</v>
      </c>
      <c r="E40" s="226" t="s">
        <v>7139</v>
      </c>
      <c r="F40" s="226" t="s">
        <v>7140</v>
      </c>
      <c r="G40" s="217" t="s">
        <v>587</v>
      </c>
      <c r="H40" s="217" t="s">
        <v>587</v>
      </c>
      <c r="I40" s="226" t="s">
        <v>7141</v>
      </c>
      <c r="J40" s="217" t="s">
        <v>7142</v>
      </c>
      <c r="K40" s="225" t="s">
        <v>7143</v>
      </c>
      <c r="L40" s="215" t="s">
        <v>7014</v>
      </c>
      <c r="M40" s="6" t="s">
        <v>7174</v>
      </c>
      <c r="N40" s="36" t="s">
        <v>587</v>
      </c>
      <c r="O40" s="36" t="s">
        <v>587</v>
      </c>
      <c r="P40" s="36" t="s">
        <v>7144</v>
      </c>
      <c r="Q40" s="215" t="s">
        <v>5477</v>
      </c>
    </row>
    <row r="41" customFormat="false" ht="29.25" hidden="false" customHeight="true" outlineLevel="0" collapsed="false">
      <c r="A41" s="217" t="s">
        <v>5711</v>
      </c>
      <c r="B41" s="217" t="s">
        <v>4977</v>
      </c>
      <c r="C41" s="225" t="s">
        <v>7175</v>
      </c>
      <c r="D41" s="217" t="s">
        <v>5712</v>
      </c>
      <c r="E41" s="226" t="s">
        <v>7139</v>
      </c>
      <c r="F41" s="226" t="s">
        <v>7140</v>
      </c>
      <c r="G41" s="217" t="s">
        <v>587</v>
      </c>
      <c r="H41" s="217" t="s">
        <v>587</v>
      </c>
      <c r="I41" s="226" t="s">
        <v>7141</v>
      </c>
      <c r="J41" s="217" t="s">
        <v>7142</v>
      </c>
      <c r="K41" s="225" t="s">
        <v>7143</v>
      </c>
      <c r="L41" s="215" t="s">
        <v>7014</v>
      </c>
      <c r="M41" s="6" t="s">
        <v>7176</v>
      </c>
      <c r="N41" s="36" t="s">
        <v>587</v>
      </c>
      <c r="O41" s="36" t="s">
        <v>587</v>
      </c>
      <c r="P41" s="36" t="s">
        <v>7144</v>
      </c>
      <c r="Q41" s="215" t="s">
        <v>5373</v>
      </c>
    </row>
    <row r="42" customFormat="false" ht="29.25" hidden="false" customHeight="true" outlineLevel="0" collapsed="false">
      <c r="A42" s="217" t="s">
        <v>4092</v>
      </c>
      <c r="B42" s="217" t="s">
        <v>4977</v>
      </c>
      <c r="C42" s="225" t="s">
        <v>7177</v>
      </c>
      <c r="D42" s="217" t="s">
        <v>5724</v>
      </c>
      <c r="E42" s="226" t="s">
        <v>7139</v>
      </c>
      <c r="F42" s="226" t="s">
        <v>7140</v>
      </c>
      <c r="G42" s="217" t="s">
        <v>587</v>
      </c>
      <c r="H42" s="217" t="s">
        <v>587</v>
      </c>
      <c r="I42" s="226" t="s">
        <v>7141</v>
      </c>
      <c r="J42" s="217" t="s">
        <v>7142</v>
      </c>
      <c r="K42" s="225" t="s">
        <v>7143</v>
      </c>
      <c r="L42" s="215" t="s">
        <v>7014</v>
      </c>
      <c r="M42" s="6" t="s">
        <v>7178</v>
      </c>
      <c r="N42" s="36" t="s">
        <v>587</v>
      </c>
      <c r="O42" s="36" t="s">
        <v>587</v>
      </c>
      <c r="P42" s="36" t="s">
        <v>7144</v>
      </c>
      <c r="Q42" s="215" t="s">
        <v>5477</v>
      </c>
    </row>
    <row r="43" customFormat="false" ht="29.25" hidden="false" customHeight="true" outlineLevel="0" collapsed="false">
      <c r="A43" s="217" t="s">
        <v>4104</v>
      </c>
      <c r="B43" s="217" t="s">
        <v>4977</v>
      </c>
      <c r="C43" s="225" t="s">
        <v>7179</v>
      </c>
      <c r="D43" s="217" t="s">
        <v>5737</v>
      </c>
      <c r="E43" s="226" t="s">
        <v>7139</v>
      </c>
      <c r="F43" s="226" t="s">
        <v>7140</v>
      </c>
      <c r="G43" s="217" t="s">
        <v>587</v>
      </c>
      <c r="H43" s="217" t="s">
        <v>587</v>
      </c>
      <c r="I43" s="226" t="s">
        <v>7141</v>
      </c>
      <c r="J43" s="217" t="s">
        <v>7142</v>
      </c>
      <c r="K43" s="225" t="s">
        <v>7143</v>
      </c>
      <c r="L43" s="215" t="s">
        <v>7014</v>
      </c>
      <c r="M43" s="6" t="s">
        <v>7180</v>
      </c>
      <c r="N43" s="36" t="s">
        <v>587</v>
      </c>
      <c r="O43" s="36" t="s">
        <v>587</v>
      </c>
      <c r="P43" s="36" t="s">
        <v>7168</v>
      </c>
      <c r="Q43" s="215" t="s">
        <v>5477</v>
      </c>
    </row>
    <row r="44" customFormat="false" ht="29.25" hidden="false" customHeight="true" outlineLevel="0" collapsed="false">
      <c r="A44" s="217" t="s">
        <v>4116</v>
      </c>
      <c r="B44" s="217" t="s">
        <v>4977</v>
      </c>
      <c r="C44" s="225" t="s">
        <v>7181</v>
      </c>
      <c r="D44" s="217" t="s">
        <v>5746</v>
      </c>
      <c r="E44" s="226" t="s">
        <v>7139</v>
      </c>
      <c r="F44" s="226" t="s">
        <v>7140</v>
      </c>
      <c r="G44" s="217" t="s">
        <v>587</v>
      </c>
      <c r="H44" s="217" t="s">
        <v>587</v>
      </c>
      <c r="I44" s="226" t="s">
        <v>7141</v>
      </c>
      <c r="J44" s="217" t="s">
        <v>7142</v>
      </c>
      <c r="K44" s="225" t="s">
        <v>7143</v>
      </c>
      <c r="L44" s="215" t="s">
        <v>7014</v>
      </c>
      <c r="M44" s="6" t="s">
        <v>7182</v>
      </c>
      <c r="N44" s="36" t="s">
        <v>587</v>
      </c>
      <c r="O44" s="36" t="s">
        <v>587</v>
      </c>
      <c r="P44" s="36" t="s">
        <v>7168</v>
      </c>
      <c r="Q44" s="215" t="s">
        <v>5373</v>
      </c>
    </row>
    <row r="45" customFormat="false" ht="29.25" hidden="false" customHeight="true" outlineLevel="0" collapsed="false">
      <c r="A45" s="217" t="s">
        <v>5760</v>
      </c>
      <c r="B45" s="217" t="s">
        <v>4977</v>
      </c>
      <c r="C45" s="225" t="s">
        <v>7183</v>
      </c>
      <c r="D45" s="217" t="s">
        <v>5761</v>
      </c>
      <c r="E45" s="226" t="s">
        <v>7139</v>
      </c>
      <c r="F45" s="226" t="s">
        <v>7140</v>
      </c>
      <c r="G45" s="217" t="s">
        <v>587</v>
      </c>
      <c r="H45" s="217" t="s">
        <v>587</v>
      </c>
      <c r="I45" s="226" t="s">
        <v>7141</v>
      </c>
      <c r="J45" s="217" t="s">
        <v>7142</v>
      </c>
      <c r="K45" s="225" t="s">
        <v>7143</v>
      </c>
      <c r="L45" s="215" t="s">
        <v>7014</v>
      </c>
      <c r="M45" s="6" t="s">
        <v>7184</v>
      </c>
      <c r="N45" s="36" t="s">
        <v>587</v>
      </c>
      <c r="O45" s="36" t="s">
        <v>587</v>
      </c>
      <c r="P45" s="36" t="s">
        <v>7144</v>
      </c>
      <c r="Q45" s="215" t="s">
        <v>5373</v>
      </c>
    </row>
    <row r="46" customFormat="false" ht="29.25" hidden="false" customHeight="true" outlineLevel="0" collapsed="false">
      <c r="A46" s="217" t="s">
        <v>5770</v>
      </c>
      <c r="B46" s="217" t="s">
        <v>4977</v>
      </c>
      <c r="C46" s="225" t="s">
        <v>7185</v>
      </c>
      <c r="D46" s="217" t="s">
        <v>5771</v>
      </c>
      <c r="E46" s="226" t="s">
        <v>7139</v>
      </c>
      <c r="F46" s="226" t="s">
        <v>7140</v>
      </c>
      <c r="G46" s="217" t="s">
        <v>587</v>
      </c>
      <c r="H46" s="217" t="s">
        <v>587</v>
      </c>
      <c r="I46" s="226" t="s">
        <v>7141</v>
      </c>
      <c r="J46" s="217" t="s">
        <v>7142</v>
      </c>
      <c r="K46" s="225" t="s">
        <v>7143</v>
      </c>
      <c r="L46" s="215" t="s">
        <v>7014</v>
      </c>
      <c r="M46" s="6" t="s">
        <v>7186</v>
      </c>
      <c r="N46" s="36" t="s">
        <v>587</v>
      </c>
      <c r="O46" s="36" t="s">
        <v>587</v>
      </c>
      <c r="P46" s="36" t="s">
        <v>7168</v>
      </c>
      <c r="Q46" s="215" t="s">
        <v>5373</v>
      </c>
    </row>
    <row r="47" customFormat="false" ht="54.75" hidden="false" customHeight="true" outlineLevel="0" collapsed="false">
      <c r="A47" s="217" t="s">
        <v>5781</v>
      </c>
      <c r="B47" s="217" t="s">
        <v>4977</v>
      </c>
      <c r="C47" s="225" t="s">
        <v>7187</v>
      </c>
      <c r="D47" s="217" t="s">
        <v>2932</v>
      </c>
      <c r="E47" s="226" t="s">
        <v>7139</v>
      </c>
      <c r="F47" s="226" t="s">
        <v>7140</v>
      </c>
      <c r="G47" s="217" t="s">
        <v>587</v>
      </c>
      <c r="H47" s="217" t="s">
        <v>587</v>
      </c>
      <c r="I47" s="226" t="s">
        <v>7141</v>
      </c>
      <c r="J47" s="217" t="s">
        <v>7142</v>
      </c>
      <c r="K47" s="225" t="s">
        <v>7143</v>
      </c>
      <c r="L47" s="215" t="s">
        <v>7014</v>
      </c>
      <c r="M47" s="6" t="s">
        <v>7188</v>
      </c>
      <c r="N47" s="36" t="s">
        <v>587</v>
      </c>
      <c r="O47" s="36" t="s">
        <v>587</v>
      </c>
      <c r="P47" s="36" t="s">
        <v>7144</v>
      </c>
      <c r="Q47" s="215" t="s">
        <v>5373</v>
      </c>
    </row>
    <row r="48" customFormat="false" ht="168" hidden="false" customHeight="true" outlineLevel="0" collapsed="false">
      <c r="A48" s="217" t="s">
        <v>5810</v>
      </c>
      <c r="B48" s="217" t="s">
        <v>4977</v>
      </c>
      <c r="C48" s="225" t="s">
        <v>7189</v>
      </c>
      <c r="D48" s="217" t="s">
        <v>5805</v>
      </c>
      <c r="E48" s="226" t="s">
        <v>7139</v>
      </c>
      <c r="F48" s="226" t="s">
        <v>7140</v>
      </c>
      <c r="G48" s="217" t="s">
        <v>587</v>
      </c>
      <c r="H48" s="217" t="s">
        <v>587</v>
      </c>
      <c r="I48" s="226" t="s">
        <v>7141</v>
      </c>
      <c r="J48" s="217" t="s">
        <v>7142</v>
      </c>
      <c r="K48" s="225" t="s">
        <v>7143</v>
      </c>
      <c r="L48" s="215" t="s">
        <v>7014</v>
      </c>
      <c r="M48" s="6" t="s">
        <v>7190</v>
      </c>
      <c r="N48" s="36" t="s">
        <v>587</v>
      </c>
      <c r="O48" s="36" t="s">
        <v>587</v>
      </c>
      <c r="P48" s="36" t="s">
        <v>7144</v>
      </c>
      <c r="Q48" s="215" t="s">
        <v>5373</v>
      </c>
    </row>
    <row r="49" customFormat="false" ht="40.5" hidden="false" customHeight="true" outlineLevel="0" collapsed="false">
      <c r="A49" s="217" t="s">
        <v>7191</v>
      </c>
      <c r="B49" s="217" t="s">
        <v>4977</v>
      </c>
      <c r="C49" s="225" t="s">
        <v>7192</v>
      </c>
      <c r="D49" s="217" t="s">
        <v>5886</v>
      </c>
      <c r="E49" s="226" t="s">
        <v>7139</v>
      </c>
      <c r="F49" s="226" t="s">
        <v>7140</v>
      </c>
      <c r="G49" s="217" t="s">
        <v>587</v>
      </c>
      <c r="H49" s="217" t="s">
        <v>587</v>
      </c>
      <c r="I49" s="226" t="s">
        <v>7141</v>
      </c>
      <c r="J49" s="217" t="s">
        <v>7142</v>
      </c>
      <c r="K49" s="225" t="s">
        <v>7143</v>
      </c>
      <c r="L49" s="215" t="s">
        <v>7014</v>
      </c>
      <c r="M49" s="6" t="s">
        <v>7021</v>
      </c>
      <c r="N49" s="36" t="s">
        <v>587</v>
      </c>
      <c r="O49" s="36" t="s">
        <v>587</v>
      </c>
      <c r="P49" s="36" t="s">
        <v>7193</v>
      </c>
      <c r="Q49" s="215" t="s">
        <v>5373</v>
      </c>
    </row>
    <row r="50" customFormat="false" ht="29.25" hidden="false" customHeight="true" outlineLevel="0" collapsed="false">
      <c r="A50" s="217" t="s">
        <v>7194</v>
      </c>
      <c r="B50" s="217" t="s">
        <v>4977</v>
      </c>
      <c r="C50" s="225" t="s">
        <v>7195</v>
      </c>
      <c r="D50" s="217" t="s">
        <v>5904</v>
      </c>
      <c r="E50" s="226" t="s">
        <v>7139</v>
      </c>
      <c r="F50" s="226" t="s">
        <v>7140</v>
      </c>
      <c r="G50" s="217" t="s">
        <v>587</v>
      </c>
      <c r="H50" s="217" t="s">
        <v>587</v>
      </c>
      <c r="I50" s="226" t="s">
        <v>7141</v>
      </c>
      <c r="J50" s="217" t="s">
        <v>7142</v>
      </c>
      <c r="K50" s="225" t="s">
        <v>7143</v>
      </c>
      <c r="L50" s="215" t="s">
        <v>7014</v>
      </c>
      <c r="M50" s="6" t="s">
        <v>4654</v>
      </c>
      <c r="N50" s="36" t="s">
        <v>587</v>
      </c>
      <c r="O50" s="36" t="s">
        <v>587</v>
      </c>
      <c r="P50" s="36" t="s">
        <v>7193</v>
      </c>
      <c r="Q50" s="215" t="s">
        <v>5477</v>
      </c>
    </row>
    <row r="51" customFormat="false" ht="29.25" hidden="false" customHeight="true" outlineLevel="0" collapsed="false">
      <c r="A51" s="217" t="s">
        <v>5914</v>
      </c>
      <c r="B51" s="217" t="s">
        <v>4977</v>
      </c>
      <c r="C51" s="225" t="s">
        <v>7196</v>
      </c>
      <c r="D51" s="217" t="s">
        <v>5915</v>
      </c>
      <c r="E51" s="226" t="s">
        <v>7139</v>
      </c>
      <c r="F51" s="226" t="s">
        <v>7140</v>
      </c>
      <c r="G51" s="217" t="s">
        <v>587</v>
      </c>
      <c r="H51" s="217" t="s">
        <v>587</v>
      </c>
      <c r="I51" s="226" t="s">
        <v>7141</v>
      </c>
      <c r="J51" s="217" t="s">
        <v>7142</v>
      </c>
      <c r="K51" s="225" t="s">
        <v>7143</v>
      </c>
      <c r="L51" s="215" t="s">
        <v>7014</v>
      </c>
      <c r="M51" s="6" t="s">
        <v>2418</v>
      </c>
      <c r="N51" s="36" t="s">
        <v>587</v>
      </c>
      <c r="O51" s="36" t="s">
        <v>587</v>
      </c>
      <c r="P51" s="36" t="s">
        <v>7168</v>
      </c>
      <c r="Q51" s="215" t="s">
        <v>5373</v>
      </c>
    </row>
    <row r="52" customFormat="false" ht="29.25" hidden="false" customHeight="true" outlineLevel="0" collapsed="false">
      <c r="A52" s="217" t="s">
        <v>5926</v>
      </c>
      <c r="B52" s="217" t="s">
        <v>4977</v>
      </c>
      <c r="C52" s="225" t="s">
        <v>7197</v>
      </c>
      <c r="D52" s="217" t="s">
        <v>5927</v>
      </c>
      <c r="E52" s="226" t="s">
        <v>7139</v>
      </c>
      <c r="F52" s="226" t="s">
        <v>7140</v>
      </c>
      <c r="G52" s="217" t="s">
        <v>587</v>
      </c>
      <c r="H52" s="217" t="s">
        <v>587</v>
      </c>
      <c r="I52" s="226" t="s">
        <v>7141</v>
      </c>
      <c r="J52" s="217" t="s">
        <v>7142</v>
      </c>
      <c r="K52" s="225" t="s">
        <v>7143</v>
      </c>
      <c r="L52" s="215" t="s">
        <v>7014</v>
      </c>
      <c r="M52" s="6" t="s">
        <v>5918</v>
      </c>
      <c r="N52" s="36" t="s">
        <v>587</v>
      </c>
      <c r="O52" s="36" t="s">
        <v>587</v>
      </c>
      <c r="P52" s="36" t="s">
        <v>7168</v>
      </c>
      <c r="Q52" s="215" t="s">
        <v>5373</v>
      </c>
    </row>
    <row r="53" customFormat="false" ht="29.25" hidden="false" customHeight="true" outlineLevel="0" collapsed="false">
      <c r="A53" s="217" t="s">
        <v>7198</v>
      </c>
      <c r="B53" s="217" t="s">
        <v>4977</v>
      </c>
      <c r="C53" s="225" t="s">
        <v>7199</v>
      </c>
      <c r="D53" s="217" t="s">
        <v>5935</v>
      </c>
      <c r="E53" s="226" t="s">
        <v>7139</v>
      </c>
      <c r="F53" s="226" t="s">
        <v>7140</v>
      </c>
      <c r="G53" s="217" t="s">
        <v>587</v>
      </c>
      <c r="H53" s="217" t="s">
        <v>587</v>
      </c>
      <c r="I53" s="226" t="s">
        <v>7141</v>
      </c>
      <c r="J53" s="217" t="s">
        <v>7142</v>
      </c>
      <c r="K53" s="225" t="s">
        <v>7143</v>
      </c>
      <c r="L53" s="215" t="s">
        <v>7014</v>
      </c>
      <c r="M53" s="6" t="s">
        <v>7040</v>
      </c>
      <c r="N53" s="36" t="s">
        <v>587</v>
      </c>
      <c r="O53" s="36" t="s">
        <v>587</v>
      </c>
      <c r="P53" s="36" t="s">
        <v>7193</v>
      </c>
      <c r="Q53" s="215" t="s">
        <v>5373</v>
      </c>
    </row>
    <row r="54" customFormat="false" ht="40.5" hidden="false" customHeight="true" outlineLevel="0" collapsed="false">
      <c r="A54" s="217" t="s">
        <v>5948</v>
      </c>
      <c r="B54" s="217" t="s">
        <v>4977</v>
      </c>
      <c r="C54" s="225" t="s">
        <v>7200</v>
      </c>
      <c r="D54" s="217" t="s">
        <v>951</v>
      </c>
      <c r="E54" s="226" t="s">
        <v>7139</v>
      </c>
      <c r="F54" s="226" t="s">
        <v>7140</v>
      </c>
      <c r="G54" s="217" t="s">
        <v>587</v>
      </c>
      <c r="H54" s="217" t="s">
        <v>587</v>
      </c>
      <c r="I54" s="226" t="s">
        <v>7141</v>
      </c>
      <c r="J54" s="217" t="s">
        <v>7142</v>
      </c>
      <c r="K54" s="225" t="s">
        <v>7143</v>
      </c>
      <c r="L54" s="215" t="s">
        <v>7014</v>
      </c>
      <c r="M54" s="6" t="s">
        <v>7201</v>
      </c>
      <c r="N54" s="36" t="s">
        <v>587</v>
      </c>
      <c r="O54" s="36" t="s">
        <v>587</v>
      </c>
      <c r="P54" s="36" t="s">
        <v>7144</v>
      </c>
      <c r="Q54" s="215" t="s">
        <v>5373</v>
      </c>
    </row>
    <row r="55" customFormat="false" ht="29.25" hidden="false" customHeight="true" outlineLevel="0" collapsed="false">
      <c r="A55" s="217" t="s">
        <v>7202</v>
      </c>
      <c r="B55" s="217" t="s">
        <v>4977</v>
      </c>
      <c r="C55" s="225" t="s">
        <v>7203</v>
      </c>
      <c r="D55" s="217" t="s">
        <v>5964</v>
      </c>
      <c r="E55" s="226" t="s">
        <v>7139</v>
      </c>
      <c r="F55" s="226" t="s">
        <v>7140</v>
      </c>
      <c r="G55" s="217" t="s">
        <v>587</v>
      </c>
      <c r="H55" s="217" t="s">
        <v>587</v>
      </c>
      <c r="I55" s="226" t="s">
        <v>7141</v>
      </c>
      <c r="J55" s="217" t="s">
        <v>7142</v>
      </c>
      <c r="K55" s="225" t="s">
        <v>7143</v>
      </c>
      <c r="L55" s="215" t="s">
        <v>7014</v>
      </c>
      <c r="M55" s="6" t="s">
        <v>4218</v>
      </c>
      <c r="N55" s="36" t="s">
        <v>587</v>
      </c>
      <c r="O55" s="36" t="s">
        <v>587</v>
      </c>
      <c r="P55" s="36" t="s">
        <v>7193</v>
      </c>
      <c r="Q55" s="215" t="s">
        <v>5373</v>
      </c>
    </row>
    <row r="56" customFormat="false" ht="29.25" hidden="false" customHeight="true" outlineLevel="0" collapsed="false">
      <c r="A56" s="217" t="s">
        <v>7204</v>
      </c>
      <c r="B56" s="217" t="s">
        <v>4977</v>
      </c>
      <c r="C56" s="225" t="s">
        <v>7205</v>
      </c>
      <c r="D56" s="217" t="s">
        <v>5974</v>
      </c>
      <c r="E56" s="226" t="s">
        <v>7139</v>
      </c>
      <c r="F56" s="226" t="s">
        <v>7140</v>
      </c>
      <c r="G56" s="217" t="s">
        <v>587</v>
      </c>
      <c r="H56" s="217" t="s">
        <v>587</v>
      </c>
      <c r="I56" s="226" t="s">
        <v>7141</v>
      </c>
      <c r="J56" s="217" t="s">
        <v>7142</v>
      </c>
      <c r="K56" s="225" t="s">
        <v>7143</v>
      </c>
      <c r="L56" s="215" t="s">
        <v>7014</v>
      </c>
      <c r="M56" s="6" t="s">
        <v>5967</v>
      </c>
      <c r="N56" s="36" t="s">
        <v>587</v>
      </c>
      <c r="O56" s="36" t="s">
        <v>587</v>
      </c>
      <c r="P56" s="36" t="s">
        <v>7193</v>
      </c>
      <c r="Q56" s="215" t="s">
        <v>5373</v>
      </c>
    </row>
    <row r="57" customFormat="false" ht="29.25" hidden="false" customHeight="true" outlineLevel="0" collapsed="false">
      <c r="A57" s="217" t="s">
        <v>7206</v>
      </c>
      <c r="B57" s="217" t="s">
        <v>4977</v>
      </c>
      <c r="C57" s="225" t="s">
        <v>7207</v>
      </c>
      <c r="D57" s="217" t="s">
        <v>5979</v>
      </c>
      <c r="E57" s="226" t="s">
        <v>7139</v>
      </c>
      <c r="F57" s="226" t="s">
        <v>7140</v>
      </c>
      <c r="G57" s="217" t="s">
        <v>587</v>
      </c>
      <c r="H57" s="217" t="s">
        <v>587</v>
      </c>
      <c r="I57" s="226" t="s">
        <v>7141</v>
      </c>
      <c r="J57" s="217" t="s">
        <v>7142</v>
      </c>
      <c r="K57" s="225" t="s">
        <v>7143</v>
      </c>
      <c r="L57" s="215" t="s">
        <v>7014</v>
      </c>
      <c r="M57" s="6" t="s">
        <v>7208</v>
      </c>
      <c r="N57" s="36" t="s">
        <v>587</v>
      </c>
      <c r="O57" s="36" t="s">
        <v>587</v>
      </c>
      <c r="P57" s="36" t="s">
        <v>7168</v>
      </c>
      <c r="Q57" s="215" t="s">
        <v>5373</v>
      </c>
    </row>
    <row r="58" customFormat="false" ht="29.25" hidden="false" customHeight="true" outlineLevel="0" collapsed="false">
      <c r="A58" s="217" t="s">
        <v>7209</v>
      </c>
      <c r="B58" s="217" t="s">
        <v>4977</v>
      </c>
      <c r="C58" s="225" t="s">
        <v>7210</v>
      </c>
      <c r="D58" s="217" t="s">
        <v>5988</v>
      </c>
      <c r="E58" s="226" t="s">
        <v>7139</v>
      </c>
      <c r="F58" s="226" t="s">
        <v>7140</v>
      </c>
      <c r="G58" s="217" t="s">
        <v>587</v>
      </c>
      <c r="H58" s="217" t="s">
        <v>587</v>
      </c>
      <c r="I58" s="226" t="s">
        <v>7141</v>
      </c>
      <c r="J58" s="217" t="s">
        <v>7142</v>
      </c>
      <c r="K58" s="225" t="s">
        <v>7143</v>
      </c>
      <c r="L58" s="215" t="s">
        <v>7014</v>
      </c>
      <c r="M58" s="6" t="s">
        <v>7211</v>
      </c>
      <c r="N58" s="36" t="s">
        <v>587</v>
      </c>
      <c r="O58" s="36" t="s">
        <v>587</v>
      </c>
      <c r="P58" s="36" t="s">
        <v>7193</v>
      </c>
      <c r="Q58" s="215" t="s">
        <v>5373</v>
      </c>
    </row>
    <row r="59" customFormat="false" ht="29.25" hidden="false" customHeight="true" outlineLevel="0" collapsed="false">
      <c r="A59" s="217" t="s">
        <v>6067</v>
      </c>
      <c r="B59" s="217" t="s">
        <v>4977</v>
      </c>
      <c r="C59" s="225" t="s">
        <v>7212</v>
      </c>
      <c r="D59" s="217" t="s">
        <v>433</v>
      </c>
      <c r="E59" s="226" t="s">
        <v>7139</v>
      </c>
      <c r="F59" s="226" t="s">
        <v>7140</v>
      </c>
      <c r="G59" s="217" t="s">
        <v>587</v>
      </c>
      <c r="H59" s="217" t="s">
        <v>587</v>
      </c>
      <c r="I59" s="226" t="s">
        <v>7141</v>
      </c>
      <c r="J59" s="217" t="s">
        <v>7142</v>
      </c>
      <c r="K59" s="225" t="s">
        <v>7143</v>
      </c>
      <c r="L59" s="215" t="s">
        <v>7014</v>
      </c>
      <c r="M59" s="6" t="s">
        <v>7213</v>
      </c>
      <c r="N59" s="36" t="s">
        <v>587</v>
      </c>
      <c r="O59" s="36" t="s">
        <v>587</v>
      </c>
      <c r="P59" s="36" t="s">
        <v>7193</v>
      </c>
      <c r="Q59" s="215" t="s">
        <v>5373</v>
      </c>
    </row>
    <row r="60" customFormat="false" ht="43.5" hidden="false" customHeight="true" outlineLevel="0" collapsed="false">
      <c r="A60" s="217" t="s">
        <v>6082</v>
      </c>
      <c r="B60" s="217" t="s">
        <v>4977</v>
      </c>
      <c r="C60" s="225" t="s">
        <v>7214</v>
      </c>
      <c r="D60" s="217" t="s">
        <v>432</v>
      </c>
      <c r="E60" s="226" t="s">
        <v>7139</v>
      </c>
      <c r="F60" s="226" t="s">
        <v>7140</v>
      </c>
      <c r="G60" s="217" t="s">
        <v>587</v>
      </c>
      <c r="H60" s="217" t="s">
        <v>587</v>
      </c>
      <c r="I60" s="226" t="s">
        <v>7141</v>
      </c>
      <c r="J60" s="217" t="s">
        <v>7142</v>
      </c>
      <c r="K60" s="225" t="s">
        <v>7143</v>
      </c>
      <c r="L60" s="215" t="s">
        <v>7014</v>
      </c>
      <c r="M60" s="6" t="s">
        <v>7215</v>
      </c>
      <c r="N60" s="36" t="s">
        <v>587</v>
      </c>
      <c r="O60" s="36" t="s">
        <v>587</v>
      </c>
      <c r="P60" s="36" t="s">
        <v>7193</v>
      </c>
      <c r="Q60" s="215" t="s">
        <v>5373</v>
      </c>
    </row>
    <row r="61" customFormat="false" ht="43.5" hidden="false" customHeight="true" outlineLevel="0" collapsed="false">
      <c r="A61" s="217" t="s">
        <v>6117</v>
      </c>
      <c r="B61" s="217" t="s">
        <v>4977</v>
      </c>
      <c r="C61" s="225" t="s">
        <v>7216</v>
      </c>
      <c r="D61" s="217" t="s">
        <v>431</v>
      </c>
      <c r="E61" s="226" t="s">
        <v>7139</v>
      </c>
      <c r="F61" s="226" t="s">
        <v>7140</v>
      </c>
      <c r="G61" s="217" t="s">
        <v>587</v>
      </c>
      <c r="H61" s="217" t="s">
        <v>587</v>
      </c>
      <c r="I61" s="226" t="s">
        <v>7141</v>
      </c>
      <c r="J61" s="217" t="s">
        <v>7142</v>
      </c>
      <c r="K61" s="225" t="s">
        <v>7143</v>
      </c>
      <c r="L61" s="215" t="s">
        <v>7014</v>
      </c>
      <c r="M61" s="6" t="s">
        <v>7217</v>
      </c>
      <c r="N61" s="36" t="s">
        <v>587</v>
      </c>
      <c r="O61" s="36" t="s">
        <v>587</v>
      </c>
      <c r="P61" s="36" t="s">
        <v>7144</v>
      </c>
      <c r="Q61" s="215" t="s">
        <v>5373</v>
      </c>
    </row>
    <row r="62" customFormat="false" ht="29.25" hidden="false" customHeight="true" outlineLevel="0" collapsed="false">
      <c r="A62" s="217" t="s">
        <v>6128</v>
      </c>
      <c r="B62" s="217" t="s">
        <v>4977</v>
      </c>
      <c r="C62" s="225" t="s">
        <v>7218</v>
      </c>
      <c r="D62" s="217" t="s">
        <v>434</v>
      </c>
      <c r="E62" s="226" t="s">
        <v>7139</v>
      </c>
      <c r="F62" s="226" t="s">
        <v>7140</v>
      </c>
      <c r="G62" s="217" t="s">
        <v>587</v>
      </c>
      <c r="H62" s="217" t="s">
        <v>587</v>
      </c>
      <c r="I62" s="226" t="s">
        <v>7141</v>
      </c>
      <c r="J62" s="217" t="s">
        <v>7142</v>
      </c>
      <c r="K62" s="225" t="s">
        <v>7143</v>
      </c>
      <c r="L62" s="215" t="s">
        <v>7014</v>
      </c>
      <c r="M62" s="6" t="s">
        <v>7219</v>
      </c>
      <c r="N62" s="36" t="s">
        <v>587</v>
      </c>
      <c r="O62" s="36" t="s">
        <v>587</v>
      </c>
      <c r="P62" s="36" t="s">
        <v>7193</v>
      </c>
      <c r="Q62" s="215" t="s">
        <v>5373</v>
      </c>
    </row>
    <row r="63" customFormat="false" ht="29.25" hidden="false" customHeight="true" outlineLevel="0" collapsed="false">
      <c r="A63" s="217" t="s">
        <v>6138</v>
      </c>
      <c r="B63" s="217" t="s">
        <v>4977</v>
      </c>
      <c r="C63" s="225" t="s">
        <v>7220</v>
      </c>
      <c r="D63" s="217" t="s">
        <v>6139</v>
      </c>
      <c r="E63" s="226" t="s">
        <v>7139</v>
      </c>
      <c r="F63" s="226" t="s">
        <v>7140</v>
      </c>
      <c r="G63" s="217" t="s">
        <v>587</v>
      </c>
      <c r="H63" s="217" t="s">
        <v>587</v>
      </c>
      <c r="I63" s="226" t="s">
        <v>7141</v>
      </c>
      <c r="J63" s="217" t="s">
        <v>7142</v>
      </c>
      <c r="K63" s="225" t="s">
        <v>7143</v>
      </c>
      <c r="L63" s="215" t="s">
        <v>7014</v>
      </c>
      <c r="M63" s="6" t="s">
        <v>7221</v>
      </c>
      <c r="N63" s="36" t="s">
        <v>587</v>
      </c>
      <c r="O63" s="36" t="s">
        <v>587</v>
      </c>
      <c r="P63" s="36" t="s">
        <v>7193</v>
      </c>
      <c r="Q63" s="215" t="s">
        <v>5373</v>
      </c>
    </row>
    <row r="64" customFormat="false" ht="43.5" hidden="false" customHeight="true" outlineLevel="0" collapsed="false">
      <c r="A64" s="217" t="s">
        <v>6149</v>
      </c>
      <c r="B64" s="217" t="s">
        <v>4977</v>
      </c>
      <c r="C64" s="225" t="s">
        <v>7222</v>
      </c>
      <c r="D64" s="217" t="s">
        <v>6150</v>
      </c>
      <c r="E64" s="226" t="s">
        <v>7139</v>
      </c>
      <c r="F64" s="226" t="s">
        <v>7140</v>
      </c>
      <c r="G64" s="217" t="s">
        <v>587</v>
      </c>
      <c r="H64" s="217" t="s">
        <v>587</v>
      </c>
      <c r="I64" s="226" t="s">
        <v>7141</v>
      </c>
      <c r="J64" s="217" t="s">
        <v>7142</v>
      </c>
      <c r="K64" s="225" t="s">
        <v>7143</v>
      </c>
      <c r="L64" s="215" t="s">
        <v>7014</v>
      </c>
      <c r="M64" s="6" t="s">
        <v>7223</v>
      </c>
      <c r="N64" s="36" t="s">
        <v>587</v>
      </c>
      <c r="O64" s="36" t="s">
        <v>587</v>
      </c>
      <c r="P64" s="36" t="s">
        <v>7193</v>
      </c>
      <c r="Q64" s="215" t="s">
        <v>5477</v>
      </c>
    </row>
    <row r="65" customFormat="false" ht="29.25" hidden="false" customHeight="true" outlineLevel="0" collapsed="false">
      <c r="A65" s="217" t="s">
        <v>6171</v>
      </c>
      <c r="B65" s="217" t="s">
        <v>4977</v>
      </c>
      <c r="C65" s="225" t="s">
        <v>7224</v>
      </c>
      <c r="D65" s="217" t="s">
        <v>6172</v>
      </c>
      <c r="E65" s="226" t="s">
        <v>7139</v>
      </c>
      <c r="F65" s="226" t="s">
        <v>7140</v>
      </c>
      <c r="G65" s="217" t="s">
        <v>587</v>
      </c>
      <c r="H65" s="217" t="s">
        <v>587</v>
      </c>
      <c r="I65" s="226" t="s">
        <v>7141</v>
      </c>
      <c r="J65" s="217" t="s">
        <v>7142</v>
      </c>
      <c r="K65" s="225" t="s">
        <v>7143</v>
      </c>
      <c r="L65" s="215" t="s">
        <v>7014</v>
      </c>
      <c r="M65" s="6" t="s">
        <v>6164</v>
      </c>
      <c r="N65" s="36" t="s">
        <v>587</v>
      </c>
      <c r="O65" s="36" t="s">
        <v>587</v>
      </c>
      <c r="P65" s="36" t="s">
        <v>7144</v>
      </c>
      <c r="Q65" s="215" t="s">
        <v>5373</v>
      </c>
    </row>
    <row r="66" customFormat="false" ht="29.25" hidden="false" customHeight="true" outlineLevel="0" collapsed="false">
      <c r="A66" s="217" t="s">
        <v>6182</v>
      </c>
      <c r="B66" s="217" t="s">
        <v>4977</v>
      </c>
      <c r="C66" s="225" t="s">
        <v>7225</v>
      </c>
      <c r="D66" s="217" t="s">
        <v>6183</v>
      </c>
      <c r="E66" s="226" t="s">
        <v>7139</v>
      </c>
      <c r="F66" s="226" t="s">
        <v>7140</v>
      </c>
      <c r="G66" s="217" t="s">
        <v>587</v>
      </c>
      <c r="H66" s="217" t="s">
        <v>587</v>
      </c>
      <c r="I66" s="226" t="s">
        <v>7141</v>
      </c>
      <c r="J66" s="217" t="s">
        <v>7142</v>
      </c>
      <c r="K66" s="225" t="s">
        <v>7143</v>
      </c>
      <c r="L66" s="215" t="s">
        <v>7014</v>
      </c>
      <c r="M66" s="6" t="s">
        <v>7226</v>
      </c>
      <c r="N66" s="36" t="s">
        <v>587</v>
      </c>
      <c r="O66" s="36" t="s">
        <v>587</v>
      </c>
      <c r="P66" s="36" t="s">
        <v>7168</v>
      </c>
      <c r="Q66" s="215" t="s">
        <v>5373</v>
      </c>
    </row>
    <row r="67" customFormat="false" ht="29.25" hidden="false" customHeight="true" outlineLevel="0" collapsed="false">
      <c r="A67" s="217" t="s">
        <v>7227</v>
      </c>
      <c r="B67" s="217" t="s">
        <v>4977</v>
      </c>
      <c r="C67" s="225" t="s">
        <v>7228</v>
      </c>
      <c r="D67" s="217" t="s">
        <v>2918</v>
      </c>
      <c r="E67" s="226" t="s">
        <v>7139</v>
      </c>
      <c r="F67" s="226" t="s">
        <v>7140</v>
      </c>
      <c r="G67" s="217" t="s">
        <v>587</v>
      </c>
      <c r="H67" s="217" t="s">
        <v>587</v>
      </c>
      <c r="I67" s="226" t="s">
        <v>7141</v>
      </c>
      <c r="J67" s="217" t="s">
        <v>7142</v>
      </c>
      <c r="K67" s="225" t="s">
        <v>7143</v>
      </c>
      <c r="L67" s="215" t="s">
        <v>7014</v>
      </c>
      <c r="M67" s="6" t="s">
        <v>7229</v>
      </c>
      <c r="N67" s="36" t="s">
        <v>587</v>
      </c>
      <c r="O67" s="36" t="s">
        <v>587</v>
      </c>
      <c r="P67" s="36" t="s">
        <v>7168</v>
      </c>
      <c r="Q67" s="215" t="s">
        <v>5373</v>
      </c>
    </row>
    <row r="68" customFormat="false" ht="57.75" hidden="false" customHeight="true" outlineLevel="0" collapsed="false">
      <c r="A68" s="217" t="s">
        <v>6209</v>
      </c>
      <c r="B68" s="217" t="s">
        <v>4977</v>
      </c>
      <c r="C68" s="225" t="s">
        <v>7230</v>
      </c>
      <c r="D68" s="217" t="s">
        <v>6210</v>
      </c>
      <c r="E68" s="226" t="s">
        <v>7139</v>
      </c>
      <c r="F68" s="226" t="s">
        <v>7140</v>
      </c>
      <c r="G68" s="217" t="s">
        <v>587</v>
      </c>
      <c r="H68" s="217" t="s">
        <v>587</v>
      </c>
      <c r="I68" s="226" t="s">
        <v>7141</v>
      </c>
      <c r="J68" s="217" t="s">
        <v>7142</v>
      </c>
      <c r="K68" s="225" t="s">
        <v>7143</v>
      </c>
      <c r="L68" s="215" t="s">
        <v>7014</v>
      </c>
      <c r="M68" s="6" t="s">
        <v>7231</v>
      </c>
      <c r="N68" s="36" t="s">
        <v>587</v>
      </c>
      <c r="O68" s="36" t="s">
        <v>587</v>
      </c>
      <c r="P68" s="36" t="s">
        <v>7193</v>
      </c>
      <c r="Q68" s="215" t="s">
        <v>5477</v>
      </c>
    </row>
    <row r="69" customFormat="false" ht="29.25" hidden="false" customHeight="true" outlineLevel="0" collapsed="false">
      <c r="A69" s="217" t="s">
        <v>7232</v>
      </c>
      <c r="B69" s="217" t="s">
        <v>4977</v>
      </c>
      <c r="C69" s="225" t="s">
        <v>7233</v>
      </c>
      <c r="D69" s="217" t="s">
        <v>6236</v>
      </c>
      <c r="E69" s="226" t="s">
        <v>7139</v>
      </c>
      <c r="F69" s="226" t="s">
        <v>7140</v>
      </c>
      <c r="G69" s="217" t="s">
        <v>587</v>
      </c>
      <c r="H69" s="217" t="s">
        <v>587</v>
      </c>
      <c r="I69" s="226" t="s">
        <v>7141</v>
      </c>
      <c r="J69" s="217" t="s">
        <v>7142</v>
      </c>
      <c r="K69" s="225" t="s">
        <v>7143</v>
      </c>
      <c r="L69" s="215" t="s">
        <v>7014</v>
      </c>
      <c r="M69" s="6" t="s">
        <v>7234</v>
      </c>
      <c r="N69" s="36" t="s">
        <v>587</v>
      </c>
      <c r="O69" s="36" t="s">
        <v>587</v>
      </c>
      <c r="P69" s="36" t="s">
        <v>7144</v>
      </c>
      <c r="Q69" s="215" t="s">
        <v>5373</v>
      </c>
    </row>
    <row r="70" customFormat="false" ht="29.25" hidden="false" customHeight="true" outlineLevel="0" collapsed="false">
      <c r="A70" s="217" t="s">
        <v>7235</v>
      </c>
      <c r="B70" s="217" t="s">
        <v>4977</v>
      </c>
      <c r="C70" s="225" t="s">
        <v>7236</v>
      </c>
      <c r="D70" s="217" t="s">
        <v>6250</v>
      </c>
      <c r="E70" s="226" t="s">
        <v>7139</v>
      </c>
      <c r="F70" s="226" t="s">
        <v>7140</v>
      </c>
      <c r="G70" s="217" t="s">
        <v>587</v>
      </c>
      <c r="H70" s="217" t="s">
        <v>587</v>
      </c>
      <c r="I70" s="226" t="s">
        <v>7141</v>
      </c>
      <c r="J70" s="217" t="s">
        <v>7142</v>
      </c>
      <c r="K70" s="225" t="s">
        <v>7143</v>
      </c>
      <c r="L70" s="215" t="s">
        <v>7014</v>
      </c>
      <c r="M70" s="6" t="s">
        <v>7069</v>
      </c>
      <c r="N70" s="36" t="s">
        <v>587</v>
      </c>
      <c r="O70" s="36" t="s">
        <v>587</v>
      </c>
      <c r="P70" s="36" t="s">
        <v>7193</v>
      </c>
      <c r="Q70" s="215" t="s">
        <v>5373</v>
      </c>
    </row>
    <row r="71" customFormat="false" ht="83.25" hidden="false" customHeight="true" outlineLevel="0" collapsed="false">
      <c r="A71" s="217" t="s">
        <v>5661</v>
      </c>
      <c r="B71" s="217" t="s">
        <v>4977</v>
      </c>
      <c r="C71" s="225" t="s">
        <v>7237</v>
      </c>
      <c r="D71" s="217" t="s">
        <v>5654</v>
      </c>
      <c r="E71" s="226" t="s">
        <v>7238</v>
      </c>
      <c r="F71" s="226" t="s">
        <v>7140</v>
      </c>
      <c r="G71" s="217" t="s">
        <v>587</v>
      </c>
      <c r="H71" s="217" t="s">
        <v>587</v>
      </c>
      <c r="I71" s="226" t="s">
        <v>7239</v>
      </c>
      <c r="J71" s="217" t="s">
        <v>7142</v>
      </c>
      <c r="K71" s="225" t="s">
        <v>7240</v>
      </c>
      <c r="L71" s="215" t="s">
        <v>7014</v>
      </c>
      <c r="M71" s="6" t="s">
        <v>7241</v>
      </c>
      <c r="N71" s="36" t="s">
        <v>587</v>
      </c>
      <c r="O71" s="36" t="s">
        <v>587</v>
      </c>
      <c r="P71" s="36" t="s">
        <v>7144</v>
      </c>
      <c r="Q71" s="215" t="s">
        <v>7242</v>
      </c>
    </row>
    <row r="72" customFormat="false" ht="29.25" hidden="false" customHeight="true" outlineLevel="0" collapsed="false">
      <c r="A72" s="217" t="s">
        <v>6354</v>
      </c>
      <c r="B72" s="217" t="s">
        <v>7243</v>
      </c>
      <c r="C72" s="225" t="s">
        <v>7244</v>
      </c>
      <c r="D72" s="217" t="s">
        <v>6355</v>
      </c>
      <c r="E72" s="226" t="s">
        <v>7139</v>
      </c>
      <c r="F72" s="226" t="s">
        <v>7140</v>
      </c>
      <c r="G72" s="217" t="s">
        <v>587</v>
      </c>
      <c r="H72" s="217" t="s">
        <v>587</v>
      </c>
      <c r="I72" s="226" t="s">
        <v>7141</v>
      </c>
      <c r="J72" s="217" t="s">
        <v>7245</v>
      </c>
      <c r="K72" s="225" t="s">
        <v>7143</v>
      </c>
      <c r="L72" s="215" t="s">
        <v>7014</v>
      </c>
      <c r="M72" s="6" t="s">
        <v>2401</v>
      </c>
      <c r="N72" s="36" t="s">
        <v>587</v>
      </c>
      <c r="O72" s="36" t="s">
        <v>587</v>
      </c>
      <c r="P72" s="36" t="s">
        <v>7144</v>
      </c>
      <c r="Q72" s="215" t="s">
        <v>5373</v>
      </c>
    </row>
    <row r="73" customFormat="false" ht="29.25" hidden="false" customHeight="true" outlineLevel="0" collapsed="false">
      <c r="A73" s="217" t="s">
        <v>6364</v>
      </c>
      <c r="B73" s="217" t="s">
        <v>7243</v>
      </c>
      <c r="C73" s="225" t="s">
        <v>7246</v>
      </c>
      <c r="D73" s="217" t="s">
        <v>6365</v>
      </c>
      <c r="E73" s="226" t="s">
        <v>7139</v>
      </c>
      <c r="F73" s="226" t="s">
        <v>7140</v>
      </c>
      <c r="G73" s="217" t="s">
        <v>587</v>
      </c>
      <c r="H73" s="217" t="s">
        <v>587</v>
      </c>
      <c r="I73" s="226" t="s">
        <v>7141</v>
      </c>
      <c r="J73" s="217" t="s">
        <v>7245</v>
      </c>
      <c r="K73" s="225" t="s">
        <v>7143</v>
      </c>
      <c r="L73" s="215" t="s">
        <v>7014</v>
      </c>
      <c r="M73" s="6" t="s">
        <v>2408</v>
      </c>
      <c r="N73" s="36" t="s">
        <v>587</v>
      </c>
      <c r="O73" s="36" t="s">
        <v>587</v>
      </c>
      <c r="P73" s="36" t="s">
        <v>7168</v>
      </c>
      <c r="Q73" s="215" t="s">
        <v>5477</v>
      </c>
    </row>
    <row r="74" customFormat="false" ht="29.25" hidden="false" customHeight="true" outlineLevel="0" collapsed="false">
      <c r="A74" s="217" t="s">
        <v>6615</v>
      </c>
      <c r="B74" s="217" t="s">
        <v>7243</v>
      </c>
      <c r="C74" s="225" t="s">
        <v>7247</v>
      </c>
      <c r="D74" s="217" t="s">
        <v>6616</v>
      </c>
      <c r="E74" s="226" t="s">
        <v>7139</v>
      </c>
      <c r="F74" s="226" t="s">
        <v>7140</v>
      </c>
      <c r="G74" s="217" t="s">
        <v>587</v>
      </c>
      <c r="H74" s="217" t="s">
        <v>587</v>
      </c>
      <c r="I74" s="226" t="s">
        <v>7141</v>
      </c>
      <c r="J74" s="217" t="s">
        <v>7245</v>
      </c>
      <c r="K74" s="225" t="s">
        <v>7143</v>
      </c>
      <c r="L74" s="215" t="s">
        <v>7014</v>
      </c>
      <c r="M74" s="6" t="s">
        <v>7120</v>
      </c>
      <c r="N74" s="36" t="s">
        <v>587</v>
      </c>
      <c r="O74" s="36" t="s">
        <v>587</v>
      </c>
      <c r="P74" s="36" t="s">
        <v>7168</v>
      </c>
      <c r="Q74" s="215" t="s">
        <v>5373</v>
      </c>
    </row>
    <row r="75" customFormat="false" ht="29.25" hidden="false" customHeight="true" outlineLevel="0" collapsed="false">
      <c r="A75" s="217" t="s">
        <v>6682</v>
      </c>
      <c r="B75" s="217" t="s">
        <v>7243</v>
      </c>
      <c r="C75" s="225" t="s">
        <v>7248</v>
      </c>
      <c r="D75" s="217" t="s">
        <v>6683</v>
      </c>
      <c r="E75" s="226" t="s">
        <v>7139</v>
      </c>
      <c r="F75" s="226" t="s">
        <v>7140</v>
      </c>
      <c r="G75" s="217" t="s">
        <v>587</v>
      </c>
      <c r="H75" s="217" t="s">
        <v>587</v>
      </c>
      <c r="I75" s="226" t="s">
        <v>7141</v>
      </c>
      <c r="J75" s="217" t="s">
        <v>7245</v>
      </c>
      <c r="K75" s="225" t="s">
        <v>7143</v>
      </c>
      <c r="L75" s="215" t="s">
        <v>7014</v>
      </c>
      <c r="M75" s="6" t="s">
        <v>7033</v>
      </c>
      <c r="N75" s="36" t="s">
        <v>587</v>
      </c>
      <c r="O75" s="36" t="s">
        <v>587</v>
      </c>
      <c r="P75" s="36" t="s">
        <v>7193</v>
      </c>
      <c r="Q75" s="215" t="s">
        <v>5477</v>
      </c>
    </row>
    <row r="76" customFormat="false" ht="69" hidden="false" customHeight="true" outlineLevel="0" collapsed="false">
      <c r="A76" s="217" t="s">
        <v>6373</v>
      </c>
      <c r="B76" s="217" t="s">
        <v>7243</v>
      </c>
      <c r="C76" s="225" t="s">
        <v>7249</v>
      </c>
      <c r="D76" s="217" t="s">
        <v>6374</v>
      </c>
      <c r="E76" s="226" t="s">
        <v>7139</v>
      </c>
      <c r="F76" s="226" t="s">
        <v>7140</v>
      </c>
      <c r="G76" s="217" t="s">
        <v>587</v>
      </c>
      <c r="H76" s="217" t="s">
        <v>587</v>
      </c>
      <c r="I76" s="226" t="s">
        <v>7141</v>
      </c>
      <c r="J76" s="217" t="s">
        <v>7245</v>
      </c>
      <c r="K76" s="225" t="s">
        <v>7143</v>
      </c>
      <c r="L76" s="215" t="s">
        <v>7014</v>
      </c>
      <c r="M76" s="6" t="s">
        <v>7250</v>
      </c>
      <c r="N76" s="36" t="s">
        <v>587</v>
      </c>
      <c r="O76" s="36" t="s">
        <v>587</v>
      </c>
      <c r="P76" s="36" t="s">
        <v>7193</v>
      </c>
      <c r="Q76" s="215" t="s">
        <v>5373</v>
      </c>
    </row>
    <row r="77" customFormat="false" ht="69" hidden="false" customHeight="true" outlineLevel="0" collapsed="false">
      <c r="A77" s="217" t="s">
        <v>6404</v>
      </c>
      <c r="B77" s="217" t="s">
        <v>7243</v>
      </c>
      <c r="C77" s="225" t="s">
        <v>7251</v>
      </c>
      <c r="D77" s="217" t="s">
        <v>6405</v>
      </c>
      <c r="E77" s="226" t="s">
        <v>7139</v>
      </c>
      <c r="F77" s="226" t="s">
        <v>7140</v>
      </c>
      <c r="G77" s="217" t="s">
        <v>587</v>
      </c>
      <c r="H77" s="217" t="s">
        <v>587</v>
      </c>
      <c r="I77" s="226" t="s">
        <v>7141</v>
      </c>
      <c r="J77" s="217" t="s">
        <v>7245</v>
      </c>
      <c r="K77" s="225" t="s">
        <v>7143</v>
      </c>
      <c r="L77" s="215" t="s">
        <v>7014</v>
      </c>
      <c r="M77" s="6" t="s">
        <v>7102</v>
      </c>
      <c r="N77" s="36" t="s">
        <v>587</v>
      </c>
      <c r="O77" s="36" t="s">
        <v>587</v>
      </c>
      <c r="P77" s="36" t="s">
        <v>7168</v>
      </c>
      <c r="Q77" s="215" t="s">
        <v>5373</v>
      </c>
    </row>
    <row r="78" customFormat="false" ht="57.75" hidden="false" customHeight="true" outlineLevel="0" collapsed="false">
      <c r="A78" s="217" t="s">
        <v>6439</v>
      </c>
      <c r="B78" s="217" t="s">
        <v>7243</v>
      </c>
      <c r="C78" s="225" t="s">
        <v>7252</v>
      </c>
      <c r="D78" s="217" t="s">
        <v>2972</v>
      </c>
      <c r="E78" s="226" t="s">
        <v>7139</v>
      </c>
      <c r="F78" s="226" t="s">
        <v>7140</v>
      </c>
      <c r="G78" s="217" t="s">
        <v>587</v>
      </c>
      <c r="H78" s="217" t="s">
        <v>587</v>
      </c>
      <c r="I78" s="226" t="s">
        <v>7141</v>
      </c>
      <c r="J78" s="217" t="s">
        <v>7245</v>
      </c>
      <c r="K78" s="225" t="s">
        <v>7143</v>
      </c>
      <c r="L78" s="215" t="s">
        <v>7014</v>
      </c>
      <c r="M78" s="6" t="s">
        <v>7083</v>
      </c>
      <c r="N78" s="36" t="s">
        <v>587</v>
      </c>
      <c r="O78" s="36" t="s">
        <v>587</v>
      </c>
      <c r="P78" s="36" t="s">
        <v>7193</v>
      </c>
      <c r="Q78" s="215" t="s">
        <v>5373</v>
      </c>
    </row>
    <row r="79" customFormat="false" ht="43.5" hidden="false" customHeight="true" outlineLevel="0" collapsed="false">
      <c r="A79" s="217" t="s">
        <v>6469</v>
      </c>
      <c r="B79" s="217" t="s">
        <v>7243</v>
      </c>
      <c r="C79" s="225" t="s">
        <v>7253</v>
      </c>
      <c r="D79" s="217" t="s">
        <v>6470</v>
      </c>
      <c r="E79" s="226" t="s">
        <v>7139</v>
      </c>
      <c r="F79" s="226" t="s">
        <v>7140</v>
      </c>
      <c r="G79" s="217" t="s">
        <v>587</v>
      </c>
      <c r="H79" s="217" t="s">
        <v>587</v>
      </c>
      <c r="I79" s="226" t="s">
        <v>7141</v>
      </c>
      <c r="J79" s="217" t="s">
        <v>7245</v>
      </c>
      <c r="K79" s="225" t="s">
        <v>7143</v>
      </c>
      <c r="L79" s="215" t="s">
        <v>7014</v>
      </c>
      <c r="M79" s="6" t="s">
        <v>7254</v>
      </c>
      <c r="N79" s="36" t="s">
        <v>587</v>
      </c>
      <c r="O79" s="36" t="s">
        <v>587</v>
      </c>
      <c r="P79" s="36" t="s">
        <v>7193</v>
      </c>
      <c r="Q79" s="215" t="s">
        <v>5373</v>
      </c>
    </row>
    <row r="80" customFormat="false" ht="72" hidden="false" customHeight="true" outlineLevel="0" collapsed="false">
      <c r="A80" s="217" t="s">
        <v>6491</v>
      </c>
      <c r="B80" s="217" t="s">
        <v>7243</v>
      </c>
      <c r="C80" s="225" t="s">
        <v>7255</v>
      </c>
      <c r="D80" s="217" t="s">
        <v>6492</v>
      </c>
      <c r="E80" s="226" t="s">
        <v>7139</v>
      </c>
      <c r="F80" s="226" t="s">
        <v>7140</v>
      </c>
      <c r="G80" s="217" t="s">
        <v>587</v>
      </c>
      <c r="H80" s="217" t="s">
        <v>587</v>
      </c>
      <c r="I80" s="226" t="s">
        <v>7141</v>
      </c>
      <c r="J80" s="217" t="s">
        <v>7245</v>
      </c>
      <c r="K80" s="225" t="s">
        <v>7143</v>
      </c>
      <c r="L80" s="215" t="s">
        <v>7014</v>
      </c>
      <c r="M80" s="6" t="s">
        <v>7106</v>
      </c>
      <c r="N80" s="36" t="s">
        <v>587</v>
      </c>
      <c r="O80" s="36" t="s">
        <v>587</v>
      </c>
      <c r="P80" s="36" t="s">
        <v>7168</v>
      </c>
      <c r="Q80" s="215" t="s">
        <v>5373</v>
      </c>
    </row>
    <row r="81" customFormat="false" ht="54.75" hidden="false" customHeight="true" outlineLevel="0" collapsed="false">
      <c r="A81" s="217" t="s">
        <v>6528</v>
      </c>
      <c r="B81" s="217" t="s">
        <v>7243</v>
      </c>
      <c r="C81" s="225" t="s">
        <v>7256</v>
      </c>
      <c r="D81" s="217" t="s">
        <v>6529</v>
      </c>
      <c r="E81" s="226" t="s">
        <v>7139</v>
      </c>
      <c r="F81" s="226" t="s">
        <v>7140</v>
      </c>
      <c r="G81" s="217" t="s">
        <v>587</v>
      </c>
      <c r="H81" s="217" t="s">
        <v>587</v>
      </c>
      <c r="I81" s="226" t="s">
        <v>7141</v>
      </c>
      <c r="J81" s="217" t="s">
        <v>7245</v>
      </c>
      <c r="K81" s="225" t="s">
        <v>7143</v>
      </c>
      <c r="L81" s="215" t="s">
        <v>7014</v>
      </c>
      <c r="M81" s="6" t="s">
        <v>7096</v>
      </c>
      <c r="N81" s="36" t="s">
        <v>587</v>
      </c>
      <c r="O81" s="36" t="s">
        <v>587</v>
      </c>
      <c r="P81" s="36" t="s">
        <v>7168</v>
      </c>
      <c r="Q81" s="215" t="s">
        <v>5477</v>
      </c>
    </row>
    <row r="82" customFormat="false" ht="29.25" hidden="false" customHeight="true" outlineLevel="0" collapsed="false">
      <c r="A82" s="217" t="s">
        <v>6560</v>
      </c>
      <c r="B82" s="217" t="s">
        <v>7243</v>
      </c>
      <c r="C82" s="225" t="s">
        <v>7257</v>
      </c>
      <c r="D82" s="217" t="s">
        <v>6555</v>
      </c>
      <c r="E82" s="226" t="s">
        <v>7139</v>
      </c>
      <c r="F82" s="226" t="s">
        <v>7140</v>
      </c>
      <c r="G82" s="217" t="s">
        <v>587</v>
      </c>
      <c r="H82" s="217" t="s">
        <v>587</v>
      </c>
      <c r="I82" s="226" t="s">
        <v>7141</v>
      </c>
      <c r="J82" s="217" t="s">
        <v>7245</v>
      </c>
      <c r="K82" s="225" t="s">
        <v>7143</v>
      </c>
      <c r="L82" s="215" t="s">
        <v>7014</v>
      </c>
      <c r="M82" s="6" t="s">
        <v>7258</v>
      </c>
      <c r="N82" s="36" t="s">
        <v>587</v>
      </c>
      <c r="O82" s="36" t="s">
        <v>587</v>
      </c>
      <c r="P82" s="36" t="s">
        <v>7144</v>
      </c>
      <c r="Q82" s="215" t="s">
        <v>5477</v>
      </c>
    </row>
    <row r="83" customFormat="false" ht="43.5" hidden="false" customHeight="true" outlineLevel="0" collapsed="false">
      <c r="A83" s="217" t="s">
        <v>6695</v>
      </c>
      <c r="B83" s="217" t="s">
        <v>7243</v>
      </c>
      <c r="C83" s="225" t="s">
        <v>7259</v>
      </c>
      <c r="D83" s="217" t="s">
        <v>6696</v>
      </c>
      <c r="E83" s="226" t="s">
        <v>7139</v>
      </c>
      <c r="F83" s="226" t="s">
        <v>7140</v>
      </c>
      <c r="G83" s="217" t="s">
        <v>587</v>
      </c>
      <c r="H83" s="217" t="s">
        <v>587</v>
      </c>
      <c r="I83" s="226" t="s">
        <v>7141</v>
      </c>
      <c r="J83" s="217" t="s">
        <v>7245</v>
      </c>
      <c r="K83" s="225" t="s">
        <v>7143</v>
      </c>
      <c r="L83" s="215" t="s">
        <v>7014</v>
      </c>
      <c r="M83" s="6" t="s">
        <v>7076</v>
      </c>
      <c r="N83" s="36" t="s">
        <v>587</v>
      </c>
      <c r="O83" s="36" t="s">
        <v>587</v>
      </c>
      <c r="P83" s="36" t="s">
        <v>7168</v>
      </c>
      <c r="Q83" s="215" t="s">
        <v>5373</v>
      </c>
    </row>
    <row r="84" customFormat="false" ht="72" hidden="false" customHeight="true" outlineLevel="0" collapsed="false">
      <c r="A84" s="217" t="s">
        <v>6625</v>
      </c>
      <c r="B84" s="217" t="s">
        <v>7243</v>
      </c>
      <c r="C84" s="225" t="s">
        <v>7260</v>
      </c>
      <c r="D84" s="217" t="s">
        <v>1528</v>
      </c>
      <c r="E84" s="226" t="s">
        <v>7139</v>
      </c>
      <c r="F84" s="226" t="s">
        <v>7140</v>
      </c>
      <c r="G84" s="217" t="s">
        <v>587</v>
      </c>
      <c r="H84" s="217" t="s">
        <v>587</v>
      </c>
      <c r="I84" s="226" t="s">
        <v>7141</v>
      </c>
      <c r="J84" s="217" t="s">
        <v>7245</v>
      </c>
      <c r="K84" s="225" t="s">
        <v>7143</v>
      </c>
      <c r="L84" s="215" t="s">
        <v>7014</v>
      </c>
      <c r="M84" s="6" t="s">
        <v>7114</v>
      </c>
      <c r="N84" s="36" t="s">
        <v>587</v>
      </c>
      <c r="O84" s="36" t="s">
        <v>587</v>
      </c>
      <c r="P84" s="36" t="s">
        <v>7168</v>
      </c>
      <c r="Q84" s="215" t="s">
        <v>5373</v>
      </c>
    </row>
    <row r="85" customFormat="false" ht="72" hidden="false" customHeight="true" outlineLevel="0" collapsed="false">
      <c r="A85" s="217" t="s">
        <v>6576</v>
      </c>
      <c r="B85" s="217" t="s">
        <v>7243</v>
      </c>
      <c r="C85" s="225" t="s">
        <v>7261</v>
      </c>
      <c r="D85" s="217" t="s">
        <v>1547</v>
      </c>
      <c r="E85" s="226" t="s">
        <v>7139</v>
      </c>
      <c r="F85" s="226" t="s">
        <v>7140</v>
      </c>
      <c r="G85" s="217" t="s">
        <v>587</v>
      </c>
      <c r="H85" s="217" t="s">
        <v>587</v>
      </c>
      <c r="I85" s="226" t="s">
        <v>7141</v>
      </c>
      <c r="J85" s="217" t="s">
        <v>7245</v>
      </c>
      <c r="K85" s="225" t="s">
        <v>7143</v>
      </c>
      <c r="L85" s="215" t="s">
        <v>7014</v>
      </c>
      <c r="M85" s="6" t="s">
        <v>7126</v>
      </c>
      <c r="N85" s="36" t="s">
        <v>587</v>
      </c>
      <c r="O85" s="36" t="s">
        <v>587</v>
      </c>
      <c r="P85" s="36" t="s">
        <v>7168</v>
      </c>
      <c r="Q85" s="215" t="s">
        <v>5477</v>
      </c>
    </row>
    <row r="86" customFormat="false" ht="29.25" hidden="false" customHeight="true" outlineLevel="0" collapsed="false">
      <c r="A86" s="217" t="s">
        <v>6663</v>
      </c>
      <c r="B86" s="217" t="s">
        <v>7243</v>
      </c>
      <c r="C86" s="225" t="s">
        <v>7262</v>
      </c>
      <c r="D86" s="217" t="s">
        <v>6664</v>
      </c>
      <c r="E86" s="226" t="s">
        <v>7139</v>
      </c>
      <c r="F86" s="226" t="s">
        <v>7140</v>
      </c>
      <c r="G86" s="217" t="s">
        <v>587</v>
      </c>
      <c r="H86" s="217" t="s">
        <v>587</v>
      </c>
      <c r="I86" s="226" t="s">
        <v>7141</v>
      </c>
      <c r="J86" s="217" t="s">
        <v>7245</v>
      </c>
      <c r="K86" s="225" t="s">
        <v>7143</v>
      </c>
      <c r="L86" s="215" t="s">
        <v>7014</v>
      </c>
      <c r="M86" s="6" t="s">
        <v>7263</v>
      </c>
      <c r="N86" s="36" t="s">
        <v>587</v>
      </c>
      <c r="O86" s="36" t="s">
        <v>587</v>
      </c>
      <c r="P86" s="36" t="s">
        <v>7168</v>
      </c>
      <c r="Q86" s="215" t="s">
        <v>5477</v>
      </c>
    </row>
    <row r="87" customFormat="false" ht="29.25" hidden="false" customHeight="true" outlineLevel="0" collapsed="false">
      <c r="A87" s="217" t="s">
        <v>6673</v>
      </c>
      <c r="B87" s="217" t="s">
        <v>7243</v>
      </c>
      <c r="C87" s="225" t="s">
        <v>7264</v>
      </c>
      <c r="D87" s="217" t="s">
        <v>6674</v>
      </c>
      <c r="E87" s="226" t="s">
        <v>7139</v>
      </c>
      <c r="F87" s="226" t="s">
        <v>7140</v>
      </c>
      <c r="G87" s="217" t="s">
        <v>587</v>
      </c>
      <c r="H87" s="217" t="s">
        <v>587</v>
      </c>
      <c r="I87" s="226" t="s">
        <v>7141</v>
      </c>
      <c r="J87" s="217" t="s">
        <v>7245</v>
      </c>
      <c r="K87" s="225" t="s">
        <v>7143</v>
      </c>
      <c r="L87" s="215" t="s">
        <v>7014</v>
      </c>
      <c r="M87" s="6" t="s">
        <v>6668</v>
      </c>
      <c r="N87" s="36" t="s">
        <v>587</v>
      </c>
      <c r="O87" s="36" t="s">
        <v>587</v>
      </c>
      <c r="P87" s="36" t="s">
        <v>7168</v>
      </c>
      <c r="Q87" s="215" t="s">
        <v>5373</v>
      </c>
    </row>
    <row r="88" customFormat="false" ht="86.25" hidden="false" customHeight="true" outlineLevel="0" collapsed="false">
      <c r="A88" s="217" t="s">
        <v>6264</v>
      </c>
      <c r="B88" s="217" t="s">
        <v>7243</v>
      </c>
      <c r="C88" s="225" t="s">
        <v>7265</v>
      </c>
      <c r="D88" s="217" t="s">
        <v>6172</v>
      </c>
      <c r="E88" s="226" t="s">
        <v>7266</v>
      </c>
      <c r="F88" s="217" t="s">
        <v>7267</v>
      </c>
      <c r="G88" s="217" t="s">
        <v>587</v>
      </c>
      <c r="H88" s="217" t="s">
        <v>7268</v>
      </c>
      <c r="I88" s="226" t="s">
        <v>7269</v>
      </c>
      <c r="J88" s="217" t="s">
        <v>7245</v>
      </c>
      <c r="K88" s="225" t="s">
        <v>7270</v>
      </c>
      <c r="L88" s="215" t="s">
        <v>7014</v>
      </c>
      <c r="M88" s="6" t="s">
        <v>7271</v>
      </c>
      <c r="N88" s="36" t="s">
        <v>587</v>
      </c>
      <c r="O88" s="36" t="s">
        <v>587</v>
      </c>
      <c r="P88" s="36" t="s">
        <v>7193</v>
      </c>
      <c r="Q88" s="215" t="s">
        <v>5373</v>
      </c>
    </row>
    <row r="89" customFormat="false" ht="100.5" hidden="false" customHeight="true" outlineLevel="0" collapsed="false">
      <c r="A89" s="217" t="s">
        <v>6003</v>
      </c>
      <c r="B89" s="217" t="s">
        <v>7243</v>
      </c>
      <c r="C89" s="225" t="s">
        <v>7272</v>
      </c>
      <c r="D89" s="217" t="s">
        <v>6004</v>
      </c>
      <c r="E89" s="226" t="s">
        <v>7266</v>
      </c>
      <c r="F89" s="217" t="s">
        <v>7273</v>
      </c>
      <c r="G89" s="217" t="s">
        <v>7274</v>
      </c>
      <c r="H89" s="217" t="s">
        <v>7275</v>
      </c>
      <c r="I89" s="226" t="s">
        <v>7269</v>
      </c>
      <c r="J89" s="217" t="s">
        <v>7245</v>
      </c>
      <c r="K89" s="227" t="s">
        <v>7276</v>
      </c>
      <c r="L89" s="215" t="s">
        <v>7014</v>
      </c>
      <c r="M89" s="6" t="s">
        <v>7277</v>
      </c>
      <c r="N89" s="36" t="s">
        <v>587</v>
      </c>
      <c r="O89" s="36" t="s">
        <v>587</v>
      </c>
      <c r="P89" s="36" t="s">
        <v>7193</v>
      </c>
      <c r="Q89" s="215" t="s">
        <v>5373</v>
      </c>
    </row>
    <row r="90" customFormat="false" ht="15" hidden="false" customHeight="true" outlineLevel="0" collapsed="false">
      <c r="A90" s="217" t="s">
        <v>6719</v>
      </c>
      <c r="B90" s="217" t="s">
        <v>5141</v>
      </c>
      <c r="C90" s="225" t="s">
        <v>7278</v>
      </c>
      <c r="D90" s="217" t="s">
        <v>7279</v>
      </c>
      <c r="E90" s="226" t="s">
        <v>7280</v>
      </c>
      <c r="F90" s="217" t="s">
        <v>7281</v>
      </c>
      <c r="G90" s="217" t="s">
        <v>587</v>
      </c>
      <c r="H90" s="217" t="s">
        <v>7282</v>
      </c>
      <c r="I90" s="226" t="s">
        <v>7283</v>
      </c>
      <c r="J90" s="217" t="s">
        <v>7284</v>
      </c>
      <c r="K90" s="225" t="s">
        <v>7285</v>
      </c>
      <c r="L90" s="215" t="s">
        <v>7014</v>
      </c>
      <c r="M90" s="6" t="s">
        <v>4778</v>
      </c>
      <c r="N90" s="36" t="s">
        <v>587</v>
      </c>
      <c r="O90" s="36" t="s">
        <v>7286</v>
      </c>
      <c r="P90" s="36" t="s">
        <v>7168</v>
      </c>
      <c r="Q90" s="215" t="s">
        <v>5373</v>
      </c>
    </row>
    <row r="91" customFormat="false" ht="39" hidden="false" customHeight="true" outlineLevel="0" collapsed="false">
      <c r="A91" s="217" t="s">
        <v>7287</v>
      </c>
      <c r="B91" s="217" t="s">
        <v>5141</v>
      </c>
      <c r="C91" s="225" t="s">
        <v>7288</v>
      </c>
      <c r="D91" s="217" t="s">
        <v>7289</v>
      </c>
      <c r="E91" s="226" t="s">
        <v>7280</v>
      </c>
      <c r="F91" s="226" t="s">
        <v>7290</v>
      </c>
      <c r="G91" s="217" t="s">
        <v>587</v>
      </c>
      <c r="H91" s="217" t="s">
        <v>7291</v>
      </c>
      <c r="I91" s="226" t="s">
        <v>7283</v>
      </c>
      <c r="J91" s="217" t="s">
        <v>7284</v>
      </c>
      <c r="K91" s="227" t="s">
        <v>7292</v>
      </c>
      <c r="L91" s="215" t="s">
        <v>7014</v>
      </c>
      <c r="M91" s="6" t="s">
        <v>6723</v>
      </c>
      <c r="N91" s="36" t="s">
        <v>587</v>
      </c>
      <c r="O91" s="36" t="s">
        <v>7286</v>
      </c>
      <c r="P91" s="36" t="s">
        <v>7168</v>
      </c>
      <c r="Q91" s="215" t="s">
        <v>5373</v>
      </c>
    </row>
    <row r="92" customFormat="false" ht="15" hidden="false" customHeight="true" outlineLevel="0" collapsed="false">
      <c r="A92" s="217" t="s">
        <v>6736</v>
      </c>
      <c r="B92" s="217" t="s">
        <v>5141</v>
      </c>
      <c r="C92" s="225" t="s">
        <v>7293</v>
      </c>
      <c r="D92" s="217" t="s">
        <v>7294</v>
      </c>
      <c r="E92" s="226" t="s">
        <v>7280</v>
      </c>
      <c r="F92" s="217" t="s">
        <v>7281</v>
      </c>
      <c r="G92" s="217" t="s">
        <v>587</v>
      </c>
      <c r="H92" s="217" t="s">
        <v>7295</v>
      </c>
      <c r="I92" s="226" t="s">
        <v>7283</v>
      </c>
      <c r="J92" s="217" t="s">
        <v>7284</v>
      </c>
      <c r="K92" s="227" t="s">
        <v>7296</v>
      </c>
      <c r="L92" s="215" t="s">
        <v>7014</v>
      </c>
      <c r="M92" s="6" t="s">
        <v>4785</v>
      </c>
      <c r="N92" s="36" t="s">
        <v>587</v>
      </c>
      <c r="O92" s="36" t="s">
        <v>7286</v>
      </c>
      <c r="P92" s="36" t="s">
        <v>7168</v>
      </c>
      <c r="Q92" s="215" t="s">
        <v>5373</v>
      </c>
    </row>
    <row r="93" customFormat="false" ht="26.25" hidden="false" customHeight="true" outlineLevel="0" collapsed="false">
      <c r="A93" s="217" t="s">
        <v>7297</v>
      </c>
      <c r="B93" s="217" t="s">
        <v>5141</v>
      </c>
      <c r="C93" s="227" t="s">
        <v>7298</v>
      </c>
      <c r="D93" s="217" t="s">
        <v>7299</v>
      </c>
      <c r="E93" s="226" t="s">
        <v>7280</v>
      </c>
      <c r="F93" s="217" t="s">
        <v>7300</v>
      </c>
      <c r="G93" s="217" t="s">
        <v>587</v>
      </c>
      <c r="H93" s="217" t="s">
        <v>7301</v>
      </c>
      <c r="I93" s="226" t="s">
        <v>7283</v>
      </c>
      <c r="J93" s="217" t="s">
        <v>7284</v>
      </c>
      <c r="K93" s="227" t="s">
        <v>7302</v>
      </c>
      <c r="L93" s="215" t="s">
        <v>7014</v>
      </c>
      <c r="M93" s="6" t="s">
        <v>2547</v>
      </c>
      <c r="N93" s="36" t="s">
        <v>587</v>
      </c>
      <c r="O93" s="36" t="s">
        <v>7286</v>
      </c>
      <c r="P93" s="36" t="s">
        <v>7168</v>
      </c>
      <c r="Q93" s="215" t="s">
        <v>5477</v>
      </c>
    </row>
    <row r="94" customFormat="false" ht="51.75" hidden="false" customHeight="true" outlineLevel="0" collapsed="false">
      <c r="A94" s="217" t="s">
        <v>7303</v>
      </c>
      <c r="B94" s="217" t="s">
        <v>5154</v>
      </c>
      <c r="C94" s="225" t="s">
        <v>7304</v>
      </c>
      <c r="D94" s="217" t="s">
        <v>7305</v>
      </c>
      <c r="E94" s="226" t="s">
        <v>7306</v>
      </c>
      <c r="F94" s="217" t="s">
        <v>7307</v>
      </c>
      <c r="G94" s="217" t="s">
        <v>7308</v>
      </c>
      <c r="H94" s="217" t="s">
        <v>7309</v>
      </c>
      <c r="I94" s="226" t="s">
        <v>7310</v>
      </c>
      <c r="J94" s="217" t="s">
        <v>7311</v>
      </c>
      <c r="K94" s="227" t="s">
        <v>7312</v>
      </c>
      <c r="L94" s="215" t="s">
        <v>7014</v>
      </c>
      <c r="M94" s="6" t="s">
        <v>3670</v>
      </c>
      <c r="N94" s="36" t="s">
        <v>587</v>
      </c>
      <c r="O94" s="36" t="s">
        <v>7313</v>
      </c>
      <c r="P94" s="36" t="s">
        <v>7193</v>
      </c>
      <c r="Q94" s="215" t="s">
        <v>5373</v>
      </c>
    </row>
    <row r="95" customFormat="false" ht="51.75" hidden="false" customHeight="true" outlineLevel="0" collapsed="false">
      <c r="A95" s="217" t="s">
        <v>7314</v>
      </c>
      <c r="B95" s="217" t="s">
        <v>5154</v>
      </c>
      <c r="C95" s="225" t="s">
        <v>7315</v>
      </c>
      <c r="D95" s="217" t="s">
        <v>7305</v>
      </c>
      <c r="E95" s="226" t="s">
        <v>7306</v>
      </c>
      <c r="F95" s="217" t="s">
        <v>7316</v>
      </c>
      <c r="G95" s="217" t="s">
        <v>7317</v>
      </c>
      <c r="H95" s="217" t="s">
        <v>7318</v>
      </c>
      <c r="I95" s="226" t="s">
        <v>7310</v>
      </c>
      <c r="J95" s="217" t="s">
        <v>7311</v>
      </c>
      <c r="K95" s="227" t="s">
        <v>7312</v>
      </c>
      <c r="L95" s="215" t="s">
        <v>7014</v>
      </c>
      <c r="M95" s="6" t="s">
        <v>3667</v>
      </c>
      <c r="N95" s="36" t="s">
        <v>587</v>
      </c>
      <c r="O95" s="36" t="s">
        <v>7313</v>
      </c>
      <c r="P95" s="36" t="s">
        <v>7193</v>
      </c>
      <c r="Q95" s="215" t="s">
        <v>5373</v>
      </c>
    </row>
    <row r="96" customFormat="false" ht="51.75" hidden="false" customHeight="true" outlineLevel="0" collapsed="false">
      <c r="A96" s="217" t="s">
        <v>7319</v>
      </c>
      <c r="B96" s="217" t="s">
        <v>5154</v>
      </c>
      <c r="C96" s="225" t="s">
        <v>7320</v>
      </c>
      <c r="D96" s="217" t="s">
        <v>7321</v>
      </c>
      <c r="E96" s="226" t="s">
        <v>7306</v>
      </c>
      <c r="F96" s="217" t="s">
        <v>7322</v>
      </c>
      <c r="G96" s="217" t="s">
        <v>7323</v>
      </c>
      <c r="H96" s="217" t="s">
        <v>7324</v>
      </c>
      <c r="I96" s="226" t="s">
        <v>7310</v>
      </c>
      <c r="J96" s="217" t="s">
        <v>7311</v>
      </c>
      <c r="K96" s="227" t="s">
        <v>7325</v>
      </c>
      <c r="L96" s="215" t="s">
        <v>7014</v>
      </c>
      <c r="M96" s="6" t="s">
        <v>3672</v>
      </c>
      <c r="N96" s="36" t="s">
        <v>587</v>
      </c>
      <c r="O96" s="36" t="s">
        <v>7313</v>
      </c>
      <c r="P96" s="36" t="s">
        <v>7193</v>
      </c>
      <c r="Q96" s="215" t="s">
        <v>5373</v>
      </c>
    </row>
    <row r="97" customFormat="false" ht="51.75" hidden="false" customHeight="true" outlineLevel="0" collapsed="false">
      <c r="A97" s="217" t="s">
        <v>7326</v>
      </c>
      <c r="B97" s="217" t="s">
        <v>5154</v>
      </c>
      <c r="C97" s="225" t="s">
        <v>7327</v>
      </c>
      <c r="D97" s="217" t="s">
        <v>7321</v>
      </c>
      <c r="E97" s="226" t="s">
        <v>7306</v>
      </c>
      <c r="F97" s="217" t="s">
        <v>7328</v>
      </c>
      <c r="G97" s="217" t="s">
        <v>7329</v>
      </c>
      <c r="H97" s="217" t="s">
        <v>7330</v>
      </c>
      <c r="I97" s="226" t="s">
        <v>7310</v>
      </c>
      <c r="J97" s="217" t="s">
        <v>7311</v>
      </c>
      <c r="K97" s="227" t="s">
        <v>7331</v>
      </c>
      <c r="L97" s="215" t="s">
        <v>7014</v>
      </c>
      <c r="M97" s="6" t="s">
        <v>3676</v>
      </c>
      <c r="N97" s="36" t="s">
        <v>587</v>
      </c>
      <c r="O97" s="36" t="s">
        <v>7313</v>
      </c>
      <c r="P97" s="36" t="s">
        <v>7193</v>
      </c>
      <c r="Q97" s="215" t="s">
        <v>5373</v>
      </c>
    </row>
    <row r="98" customFormat="false" ht="51.75" hidden="false" customHeight="true" outlineLevel="0" collapsed="false">
      <c r="A98" s="217" t="s">
        <v>7332</v>
      </c>
      <c r="B98" s="217" t="s">
        <v>5154</v>
      </c>
      <c r="C98" s="225" t="s">
        <v>7333</v>
      </c>
      <c r="D98" s="217" t="s">
        <v>7321</v>
      </c>
      <c r="E98" s="226" t="s">
        <v>7306</v>
      </c>
      <c r="F98" s="217" t="s">
        <v>7334</v>
      </c>
      <c r="G98" s="217" t="s">
        <v>7335</v>
      </c>
      <c r="H98" s="217" t="s">
        <v>7336</v>
      </c>
      <c r="I98" s="226" t="s">
        <v>7310</v>
      </c>
      <c r="J98" s="217" t="s">
        <v>7311</v>
      </c>
      <c r="K98" s="227" t="s">
        <v>7337</v>
      </c>
      <c r="L98" s="215" t="s">
        <v>7014</v>
      </c>
      <c r="M98" s="6" t="s">
        <v>3679</v>
      </c>
      <c r="N98" s="36" t="s">
        <v>587</v>
      </c>
      <c r="O98" s="36" t="s">
        <v>7313</v>
      </c>
      <c r="P98" s="36" t="s">
        <v>7193</v>
      </c>
      <c r="Q98" s="215" t="s">
        <v>5373</v>
      </c>
    </row>
    <row r="99" customFormat="false" ht="39" hidden="false" customHeight="true" outlineLevel="0" collapsed="false">
      <c r="A99" s="217" t="s">
        <v>7338</v>
      </c>
      <c r="B99" s="217" t="s">
        <v>5154</v>
      </c>
      <c r="C99" s="225" t="s">
        <v>7339</v>
      </c>
      <c r="D99" s="217" t="s">
        <v>6014</v>
      </c>
      <c r="E99" s="226" t="s">
        <v>7306</v>
      </c>
      <c r="F99" s="217" t="s">
        <v>7340</v>
      </c>
      <c r="G99" s="217" t="s">
        <v>7341</v>
      </c>
      <c r="H99" s="217" t="s">
        <v>7342</v>
      </c>
      <c r="I99" s="226" t="s">
        <v>7310</v>
      </c>
      <c r="J99" s="217" t="s">
        <v>7311</v>
      </c>
      <c r="K99" s="227" t="s">
        <v>7343</v>
      </c>
      <c r="L99" s="215" t="s">
        <v>7014</v>
      </c>
      <c r="M99" s="6" t="s">
        <v>3681</v>
      </c>
      <c r="N99" s="36" t="s">
        <v>587</v>
      </c>
      <c r="O99" s="36" t="s">
        <v>7313</v>
      </c>
      <c r="P99" s="36" t="s">
        <v>7193</v>
      </c>
      <c r="Q99" s="215" t="s">
        <v>5373</v>
      </c>
    </row>
    <row r="100" customFormat="false" ht="51.75" hidden="false" customHeight="true" outlineLevel="0" collapsed="false">
      <c r="A100" s="217" t="s">
        <v>7344</v>
      </c>
      <c r="B100" s="217" t="s">
        <v>5154</v>
      </c>
      <c r="C100" s="225" t="s">
        <v>7345</v>
      </c>
      <c r="D100" s="217" t="s">
        <v>7321</v>
      </c>
      <c r="E100" s="226" t="s">
        <v>7306</v>
      </c>
      <c r="F100" s="217" t="s">
        <v>7346</v>
      </c>
      <c r="G100" s="217" t="s">
        <v>7347</v>
      </c>
      <c r="H100" s="217" t="s">
        <v>7348</v>
      </c>
      <c r="I100" s="226" t="s">
        <v>7310</v>
      </c>
      <c r="J100" s="217" t="s">
        <v>7311</v>
      </c>
      <c r="K100" s="227" t="s">
        <v>7349</v>
      </c>
      <c r="L100" s="215" t="s">
        <v>7014</v>
      </c>
      <c r="M100" s="6" t="s">
        <v>3684</v>
      </c>
      <c r="N100" s="36" t="s">
        <v>587</v>
      </c>
      <c r="O100" s="36" t="s">
        <v>7313</v>
      </c>
      <c r="P100" s="36" t="s">
        <v>7193</v>
      </c>
      <c r="Q100" s="215" t="s">
        <v>5373</v>
      </c>
    </row>
    <row r="101" customFormat="false" ht="51.75" hidden="false" customHeight="true" outlineLevel="0" collapsed="false">
      <c r="A101" s="217" t="s">
        <v>7350</v>
      </c>
      <c r="B101" s="217" t="s">
        <v>5154</v>
      </c>
      <c r="C101" s="225" t="s">
        <v>7351</v>
      </c>
      <c r="D101" s="217" t="s">
        <v>7321</v>
      </c>
      <c r="E101" s="226" t="s">
        <v>7306</v>
      </c>
      <c r="F101" s="217" t="s">
        <v>7352</v>
      </c>
      <c r="G101" s="217" t="s">
        <v>7353</v>
      </c>
      <c r="H101" s="217" t="s">
        <v>7354</v>
      </c>
      <c r="I101" s="226" t="s">
        <v>7310</v>
      </c>
      <c r="J101" s="217" t="s">
        <v>7311</v>
      </c>
      <c r="K101" s="227" t="s">
        <v>7355</v>
      </c>
      <c r="L101" s="215" t="s">
        <v>7014</v>
      </c>
      <c r="M101" s="6" t="s">
        <v>3688</v>
      </c>
      <c r="N101" s="36" t="s">
        <v>587</v>
      </c>
      <c r="O101" s="36" t="s">
        <v>7313</v>
      </c>
      <c r="P101" s="36" t="s">
        <v>7193</v>
      </c>
      <c r="Q101" s="215" t="s">
        <v>5373</v>
      </c>
    </row>
    <row r="102" customFormat="false" ht="51.75" hidden="false" customHeight="true" outlineLevel="0" collapsed="false">
      <c r="A102" s="217" t="s">
        <v>7356</v>
      </c>
      <c r="B102" s="217" t="s">
        <v>5154</v>
      </c>
      <c r="C102" s="225" t="s">
        <v>7357</v>
      </c>
      <c r="D102" s="217" t="s">
        <v>7321</v>
      </c>
      <c r="E102" s="226" t="s">
        <v>7306</v>
      </c>
      <c r="F102" s="217" t="s">
        <v>7358</v>
      </c>
      <c r="G102" s="217" t="s">
        <v>7359</v>
      </c>
      <c r="H102" s="217" t="s">
        <v>7360</v>
      </c>
      <c r="I102" s="226" t="s">
        <v>7310</v>
      </c>
      <c r="J102" s="217" t="s">
        <v>7311</v>
      </c>
      <c r="K102" s="227" t="s">
        <v>7361</v>
      </c>
      <c r="L102" s="215" t="s">
        <v>7014</v>
      </c>
      <c r="M102" s="6" t="s">
        <v>3692</v>
      </c>
      <c r="N102" s="36" t="s">
        <v>587</v>
      </c>
      <c r="O102" s="36" t="s">
        <v>7313</v>
      </c>
      <c r="P102" s="36" t="s">
        <v>7193</v>
      </c>
      <c r="Q102" s="215" t="s">
        <v>5373</v>
      </c>
    </row>
    <row r="103" customFormat="false" ht="39" hidden="false" customHeight="true" outlineLevel="0" collapsed="false">
      <c r="A103" s="217" t="s">
        <v>7362</v>
      </c>
      <c r="B103" s="217" t="s">
        <v>5154</v>
      </c>
      <c r="C103" s="225" t="s">
        <v>7363</v>
      </c>
      <c r="D103" s="217" t="s">
        <v>7321</v>
      </c>
      <c r="E103" s="226" t="s">
        <v>7306</v>
      </c>
      <c r="F103" s="217" t="s">
        <v>7364</v>
      </c>
      <c r="G103" s="217" t="s">
        <v>7365</v>
      </c>
      <c r="H103" s="217" t="s">
        <v>7366</v>
      </c>
      <c r="I103" s="226" t="s">
        <v>7310</v>
      </c>
      <c r="J103" s="217" t="s">
        <v>7311</v>
      </c>
      <c r="K103" s="227" t="s">
        <v>7367</v>
      </c>
      <c r="L103" s="215" t="s">
        <v>7014</v>
      </c>
      <c r="M103" s="6" t="s">
        <v>3701</v>
      </c>
      <c r="N103" s="36" t="s">
        <v>587</v>
      </c>
      <c r="O103" s="36" t="s">
        <v>7313</v>
      </c>
      <c r="P103" s="36" t="s">
        <v>7193</v>
      </c>
      <c r="Q103" s="215" t="s">
        <v>5373</v>
      </c>
    </row>
    <row r="104" customFormat="false" ht="51.75" hidden="false" customHeight="true" outlineLevel="0" collapsed="false">
      <c r="A104" s="217" t="s">
        <v>7368</v>
      </c>
      <c r="B104" s="217" t="s">
        <v>5154</v>
      </c>
      <c r="C104" s="225" t="s">
        <v>7369</v>
      </c>
      <c r="D104" s="217" t="s">
        <v>7321</v>
      </c>
      <c r="E104" s="226" t="s">
        <v>7306</v>
      </c>
      <c r="F104" s="217" t="s">
        <v>7370</v>
      </c>
      <c r="G104" s="217" t="s">
        <v>7371</v>
      </c>
      <c r="H104" s="217" t="s">
        <v>7372</v>
      </c>
      <c r="I104" s="226" t="s">
        <v>7310</v>
      </c>
      <c r="J104" s="217" t="s">
        <v>7311</v>
      </c>
      <c r="K104" s="227" t="s">
        <v>7373</v>
      </c>
      <c r="L104" s="215" t="s">
        <v>7014</v>
      </c>
      <c r="M104" s="6" t="s">
        <v>3705</v>
      </c>
      <c r="N104" s="36" t="s">
        <v>587</v>
      </c>
      <c r="O104" s="36" t="s">
        <v>7313</v>
      </c>
      <c r="P104" s="36" t="s">
        <v>7193</v>
      </c>
      <c r="Q104" s="215" t="s">
        <v>5373</v>
      </c>
    </row>
    <row r="105" customFormat="false" ht="64.5" hidden="false" customHeight="true" outlineLevel="0" collapsed="false">
      <c r="A105" s="217" t="s">
        <v>7374</v>
      </c>
      <c r="B105" s="217" t="s">
        <v>5154</v>
      </c>
      <c r="C105" s="225" t="s">
        <v>7375</v>
      </c>
      <c r="D105" s="217" t="s">
        <v>7376</v>
      </c>
      <c r="E105" s="226" t="s">
        <v>7306</v>
      </c>
      <c r="F105" s="217" t="s">
        <v>7377</v>
      </c>
      <c r="G105" s="217" t="s">
        <v>7378</v>
      </c>
      <c r="H105" s="226" t="s">
        <v>7379</v>
      </c>
      <c r="I105" s="226" t="s">
        <v>7310</v>
      </c>
      <c r="J105" s="217" t="s">
        <v>7311</v>
      </c>
      <c r="K105" s="227" t="s">
        <v>7380</v>
      </c>
      <c r="L105" s="215" t="s">
        <v>7014</v>
      </c>
      <c r="M105" s="6" t="s">
        <v>3371</v>
      </c>
      <c r="N105" s="36" t="s">
        <v>587</v>
      </c>
      <c r="O105" s="36" t="s">
        <v>7313</v>
      </c>
      <c r="P105" s="36" t="s">
        <v>7193</v>
      </c>
      <c r="Q105" s="215" t="s">
        <v>5373</v>
      </c>
    </row>
    <row r="106" customFormat="false" ht="50.25" hidden="false" customHeight="true" outlineLevel="0" collapsed="false">
      <c r="A106" s="217" t="s">
        <v>7381</v>
      </c>
      <c r="B106" s="217" t="s">
        <v>5154</v>
      </c>
      <c r="C106" s="225" t="s">
        <v>7382</v>
      </c>
      <c r="D106" s="217" t="s">
        <v>7383</v>
      </c>
      <c r="E106" s="226" t="s">
        <v>7306</v>
      </c>
      <c r="F106" s="217" t="s">
        <v>7384</v>
      </c>
      <c r="G106" s="217" t="s">
        <v>7385</v>
      </c>
      <c r="H106" s="217" t="s">
        <v>7386</v>
      </c>
      <c r="I106" s="226" t="s">
        <v>7310</v>
      </c>
      <c r="J106" s="217" t="s">
        <v>7311</v>
      </c>
      <c r="K106" s="227" t="s">
        <v>7387</v>
      </c>
      <c r="L106" s="215" t="s">
        <v>7014</v>
      </c>
      <c r="M106" s="6" t="s">
        <v>3458</v>
      </c>
      <c r="N106" s="36" t="s">
        <v>587</v>
      </c>
      <c r="O106" s="36" t="s">
        <v>7313</v>
      </c>
      <c r="P106" s="36" t="s">
        <v>7193</v>
      </c>
      <c r="Q106" s="215" t="s">
        <v>5373</v>
      </c>
    </row>
    <row r="107" customFormat="false" ht="51.75" hidden="false" customHeight="true" outlineLevel="0" collapsed="false">
      <c r="A107" s="217" t="s">
        <v>7388</v>
      </c>
      <c r="B107" s="217" t="s">
        <v>5154</v>
      </c>
      <c r="C107" s="225" t="s">
        <v>7389</v>
      </c>
      <c r="D107" s="217" t="s">
        <v>7390</v>
      </c>
      <c r="E107" s="226" t="s">
        <v>7306</v>
      </c>
      <c r="F107" s="217" t="s">
        <v>7391</v>
      </c>
      <c r="G107" s="217" t="s">
        <v>7392</v>
      </c>
      <c r="H107" s="217" t="s">
        <v>7393</v>
      </c>
      <c r="I107" s="226" t="s">
        <v>7310</v>
      </c>
      <c r="J107" s="217" t="s">
        <v>7311</v>
      </c>
      <c r="K107" s="227" t="s">
        <v>7394</v>
      </c>
      <c r="L107" s="215" t="s">
        <v>7014</v>
      </c>
      <c r="M107" s="6" t="s">
        <v>3460</v>
      </c>
      <c r="N107" s="36" t="s">
        <v>587</v>
      </c>
      <c r="O107" s="36" t="s">
        <v>7313</v>
      </c>
      <c r="P107" s="36" t="s">
        <v>7193</v>
      </c>
      <c r="Q107" s="215" t="s">
        <v>5373</v>
      </c>
    </row>
    <row r="108" customFormat="false" ht="77.25" hidden="false" customHeight="true" outlineLevel="0" collapsed="false">
      <c r="A108" s="217" t="s">
        <v>7395</v>
      </c>
      <c r="B108" s="217" t="s">
        <v>5154</v>
      </c>
      <c r="C108" s="225" t="s">
        <v>7396</v>
      </c>
      <c r="D108" s="217" t="s">
        <v>7397</v>
      </c>
      <c r="E108" s="226" t="s">
        <v>7306</v>
      </c>
      <c r="F108" s="217" t="s">
        <v>7398</v>
      </c>
      <c r="G108" s="217" t="s">
        <v>7399</v>
      </c>
      <c r="H108" s="217" t="s">
        <v>7400</v>
      </c>
      <c r="I108" s="226" t="s">
        <v>7310</v>
      </c>
      <c r="J108" s="217" t="s">
        <v>7311</v>
      </c>
      <c r="K108" s="227" t="s">
        <v>7401</v>
      </c>
      <c r="L108" s="215" t="s">
        <v>7014</v>
      </c>
      <c r="M108" s="6" t="s">
        <v>3454</v>
      </c>
      <c r="N108" s="36" t="s">
        <v>587</v>
      </c>
      <c r="O108" s="36" t="s">
        <v>7313</v>
      </c>
      <c r="P108" s="36" t="s">
        <v>7193</v>
      </c>
      <c r="Q108" s="215" t="s">
        <v>5373</v>
      </c>
    </row>
    <row r="109" customFormat="false" ht="50.25" hidden="false" customHeight="true" outlineLevel="0" collapsed="false">
      <c r="A109" s="217" t="s">
        <v>7402</v>
      </c>
      <c r="B109" s="217" t="s">
        <v>5154</v>
      </c>
      <c r="C109" s="225" t="s">
        <v>7403</v>
      </c>
      <c r="D109" s="217" t="s">
        <v>7383</v>
      </c>
      <c r="E109" s="226" t="s">
        <v>7306</v>
      </c>
      <c r="F109" s="217" t="s">
        <v>7404</v>
      </c>
      <c r="G109" s="217" t="s">
        <v>7405</v>
      </c>
      <c r="H109" s="217" t="s">
        <v>7406</v>
      </c>
      <c r="I109" s="226" t="s">
        <v>7310</v>
      </c>
      <c r="J109" s="217" t="s">
        <v>7311</v>
      </c>
      <c r="K109" s="227" t="s">
        <v>7407</v>
      </c>
      <c r="L109" s="215" t="s">
        <v>7014</v>
      </c>
      <c r="M109" s="6" t="s">
        <v>3635</v>
      </c>
      <c r="N109" s="36" t="s">
        <v>587</v>
      </c>
      <c r="O109" s="36" t="s">
        <v>7313</v>
      </c>
      <c r="P109" s="36" t="s">
        <v>7193</v>
      </c>
      <c r="Q109" s="215" t="s">
        <v>5373</v>
      </c>
    </row>
    <row r="110" customFormat="false" ht="64.5" hidden="false" customHeight="true" outlineLevel="0" collapsed="false">
      <c r="A110" s="217" t="s">
        <v>7408</v>
      </c>
      <c r="B110" s="217" t="s">
        <v>5154</v>
      </c>
      <c r="C110" s="225" t="s">
        <v>7409</v>
      </c>
      <c r="D110" s="217" t="s">
        <v>7410</v>
      </c>
      <c r="E110" s="226" t="s">
        <v>7306</v>
      </c>
      <c r="F110" s="217" t="s">
        <v>7411</v>
      </c>
      <c r="G110" s="217" t="s">
        <v>7412</v>
      </c>
      <c r="H110" s="217" t="s">
        <v>7413</v>
      </c>
      <c r="I110" s="226" t="s">
        <v>7310</v>
      </c>
      <c r="J110" s="217" t="s">
        <v>7311</v>
      </c>
      <c r="K110" s="227" t="s">
        <v>7414</v>
      </c>
      <c r="L110" s="215" t="s">
        <v>7014</v>
      </c>
      <c r="M110" s="6" t="s">
        <v>3347</v>
      </c>
      <c r="N110" s="36" t="s">
        <v>587</v>
      </c>
      <c r="O110" s="36" t="s">
        <v>7313</v>
      </c>
      <c r="P110" s="36" t="s">
        <v>7193</v>
      </c>
      <c r="Q110" s="215" t="s">
        <v>5373</v>
      </c>
    </row>
    <row r="111" customFormat="false" ht="77.25" hidden="false" customHeight="true" outlineLevel="0" collapsed="false">
      <c r="A111" s="217" t="s">
        <v>7415</v>
      </c>
      <c r="B111" s="217" t="s">
        <v>5154</v>
      </c>
      <c r="C111" s="225" t="s">
        <v>7416</v>
      </c>
      <c r="D111" s="217" t="s">
        <v>7417</v>
      </c>
      <c r="E111" s="226" t="s">
        <v>7306</v>
      </c>
      <c r="F111" s="226" t="s">
        <v>7418</v>
      </c>
      <c r="G111" s="226" t="s">
        <v>7419</v>
      </c>
      <c r="H111" s="217" t="s">
        <v>7420</v>
      </c>
      <c r="I111" s="226" t="s">
        <v>7310</v>
      </c>
      <c r="J111" s="217" t="s">
        <v>7311</v>
      </c>
      <c r="K111" s="227" t="s">
        <v>7421</v>
      </c>
      <c r="L111" s="215" t="s">
        <v>7014</v>
      </c>
      <c r="M111" s="6" t="s">
        <v>4554</v>
      </c>
      <c r="N111" s="36" t="s">
        <v>587</v>
      </c>
      <c r="O111" s="36" t="s">
        <v>7313</v>
      </c>
      <c r="P111" s="36" t="s">
        <v>7193</v>
      </c>
      <c r="Q111" s="215" t="s">
        <v>5373</v>
      </c>
    </row>
    <row r="112" customFormat="false" ht="39" hidden="false" customHeight="true" outlineLevel="0" collapsed="false">
      <c r="A112" s="217" t="s">
        <v>7422</v>
      </c>
      <c r="B112" s="217" t="s">
        <v>5154</v>
      </c>
      <c r="C112" s="225" t="s">
        <v>7423</v>
      </c>
      <c r="D112" s="217" t="s">
        <v>7417</v>
      </c>
      <c r="E112" s="226" t="s">
        <v>7306</v>
      </c>
      <c r="F112" s="217" t="s">
        <v>7424</v>
      </c>
      <c r="G112" s="217" t="s">
        <v>7425</v>
      </c>
      <c r="H112" s="226" t="s">
        <v>7426</v>
      </c>
      <c r="I112" s="226" t="s">
        <v>7310</v>
      </c>
      <c r="J112" s="217" t="s">
        <v>7311</v>
      </c>
      <c r="K112" s="227" t="s">
        <v>7427</v>
      </c>
      <c r="L112" s="215" t="s">
        <v>7014</v>
      </c>
      <c r="M112" s="6" t="s">
        <v>4559</v>
      </c>
      <c r="N112" s="36" t="s">
        <v>587</v>
      </c>
      <c r="O112" s="36" t="s">
        <v>7313</v>
      </c>
      <c r="P112" s="36" t="s">
        <v>7193</v>
      </c>
      <c r="Q112" s="215" t="s">
        <v>5373</v>
      </c>
    </row>
    <row r="113" customFormat="false" ht="77.25" hidden="false" customHeight="true" outlineLevel="0" collapsed="false">
      <c r="A113" s="217" t="s">
        <v>7428</v>
      </c>
      <c r="B113" s="217" t="s">
        <v>5154</v>
      </c>
      <c r="C113" s="225" t="s">
        <v>7429</v>
      </c>
      <c r="D113" s="217" t="s">
        <v>7430</v>
      </c>
      <c r="E113" s="226" t="s">
        <v>7306</v>
      </c>
      <c r="F113" s="217" t="s">
        <v>7431</v>
      </c>
      <c r="G113" s="217" t="s">
        <v>7432</v>
      </c>
      <c r="H113" s="217" t="s">
        <v>7432</v>
      </c>
      <c r="I113" s="226" t="s">
        <v>7310</v>
      </c>
      <c r="J113" s="217" t="s">
        <v>7311</v>
      </c>
      <c r="K113" s="227" t="s">
        <v>7433</v>
      </c>
      <c r="L113" s="215" t="s">
        <v>7014</v>
      </c>
      <c r="M113" s="6" t="s">
        <v>6550</v>
      </c>
      <c r="N113" s="36" t="s">
        <v>587</v>
      </c>
      <c r="O113" s="36" t="s">
        <v>7313</v>
      </c>
      <c r="P113" s="36" t="s">
        <v>7193</v>
      </c>
      <c r="Q113" s="215" t="s">
        <v>5477</v>
      </c>
    </row>
    <row r="114" customFormat="false" ht="37.5" hidden="false" customHeight="true" outlineLevel="0" collapsed="false">
      <c r="A114" s="217" t="s">
        <v>7434</v>
      </c>
      <c r="B114" s="217" t="s">
        <v>5154</v>
      </c>
      <c r="C114" s="225" t="s">
        <v>7435</v>
      </c>
      <c r="D114" s="217" t="s">
        <v>7430</v>
      </c>
      <c r="E114" s="226" t="s">
        <v>7306</v>
      </c>
      <c r="F114" s="217" t="s">
        <v>7436</v>
      </c>
      <c r="G114" s="217" t="s">
        <v>7437</v>
      </c>
      <c r="H114" s="217" t="s">
        <v>7437</v>
      </c>
      <c r="I114" s="226" t="s">
        <v>7310</v>
      </c>
      <c r="J114" s="217" t="s">
        <v>7311</v>
      </c>
      <c r="K114" s="227" t="s">
        <v>7438</v>
      </c>
      <c r="L114" s="215" t="s">
        <v>7014</v>
      </c>
      <c r="M114" s="6" t="s">
        <v>6565</v>
      </c>
      <c r="N114" s="36" t="s">
        <v>587</v>
      </c>
      <c r="O114" s="36" t="s">
        <v>7313</v>
      </c>
      <c r="P114" s="36" t="s">
        <v>7193</v>
      </c>
      <c r="Q114" s="215" t="s">
        <v>5477</v>
      </c>
    </row>
    <row r="115" customFormat="false" ht="51.75" hidden="false" customHeight="true" outlineLevel="0" collapsed="false">
      <c r="A115" s="217" t="s">
        <v>7439</v>
      </c>
      <c r="B115" s="217" t="s">
        <v>5154</v>
      </c>
      <c r="C115" s="227" t="s">
        <v>7440</v>
      </c>
      <c r="D115" s="217" t="s">
        <v>7441</v>
      </c>
      <c r="E115" s="226" t="s">
        <v>7306</v>
      </c>
      <c r="F115" s="217" t="s">
        <v>7442</v>
      </c>
      <c r="G115" s="226" t="s">
        <v>7443</v>
      </c>
      <c r="H115" s="217" t="s">
        <v>7444</v>
      </c>
      <c r="I115" s="226" t="s">
        <v>7310</v>
      </c>
      <c r="J115" s="217" t="s">
        <v>7311</v>
      </c>
      <c r="K115" s="227" t="s">
        <v>7445</v>
      </c>
      <c r="L115" s="215" t="s">
        <v>7014</v>
      </c>
      <c r="M115" s="6" t="s">
        <v>2547</v>
      </c>
      <c r="N115" s="36" t="s">
        <v>587</v>
      </c>
      <c r="O115" s="36" t="s">
        <v>7313</v>
      </c>
      <c r="P115" s="36" t="s">
        <v>7193</v>
      </c>
      <c r="Q115" s="215" t="s">
        <v>5477</v>
      </c>
    </row>
    <row r="116" customFormat="false" ht="64.5" hidden="false" customHeight="true" outlineLevel="0" collapsed="false">
      <c r="A116" s="217" t="s">
        <v>7446</v>
      </c>
      <c r="B116" s="217" t="s">
        <v>5154</v>
      </c>
      <c r="C116" s="225" t="s">
        <v>7447</v>
      </c>
      <c r="D116" s="217" t="s">
        <v>7448</v>
      </c>
      <c r="E116" s="226" t="s">
        <v>7306</v>
      </c>
      <c r="F116" s="226" t="s">
        <v>7449</v>
      </c>
      <c r="G116" s="217" t="s">
        <v>7450</v>
      </c>
      <c r="H116" s="217" t="s">
        <v>7451</v>
      </c>
      <c r="I116" s="226" t="s">
        <v>7452</v>
      </c>
      <c r="J116" s="217" t="s">
        <v>7311</v>
      </c>
      <c r="K116" s="227" t="s">
        <v>7453</v>
      </c>
      <c r="L116" s="215" t="s">
        <v>7014</v>
      </c>
      <c r="M116" s="6" t="s">
        <v>6723</v>
      </c>
      <c r="N116" s="36" t="s">
        <v>587</v>
      </c>
      <c r="O116" s="36" t="s">
        <v>7313</v>
      </c>
      <c r="P116" s="36" t="s">
        <v>7193</v>
      </c>
      <c r="Q116" s="36" t="s">
        <v>185</v>
      </c>
    </row>
    <row r="117" customFormat="false" ht="77.25" hidden="false" customHeight="true" outlineLevel="0" collapsed="false">
      <c r="A117" s="217" t="s">
        <v>7454</v>
      </c>
      <c r="B117" s="217" t="s">
        <v>5154</v>
      </c>
      <c r="C117" s="225" t="s">
        <v>7455</v>
      </c>
      <c r="D117" s="217" t="s">
        <v>7456</v>
      </c>
      <c r="E117" s="226" t="s">
        <v>7306</v>
      </c>
      <c r="F117" s="217" t="s">
        <v>7457</v>
      </c>
      <c r="G117" s="217" t="s">
        <v>7458</v>
      </c>
      <c r="H117" s="217" t="s">
        <v>7459</v>
      </c>
      <c r="I117" s="226" t="s">
        <v>7460</v>
      </c>
      <c r="J117" s="217" t="s">
        <v>7311</v>
      </c>
      <c r="K117" s="227" t="s">
        <v>7461</v>
      </c>
      <c r="L117" s="215" t="s">
        <v>7014</v>
      </c>
      <c r="M117" s="6" t="s">
        <v>3382</v>
      </c>
      <c r="N117" s="36" t="s">
        <v>587</v>
      </c>
      <c r="O117" s="36" t="s">
        <v>7462</v>
      </c>
      <c r="P117" s="36" t="s">
        <v>7193</v>
      </c>
      <c r="Q117" s="215" t="s">
        <v>5373</v>
      </c>
    </row>
    <row r="118" customFormat="false" ht="64.5" hidden="false" customHeight="true" outlineLevel="0" collapsed="false">
      <c r="A118" s="217" t="s">
        <v>5703</v>
      </c>
      <c r="B118" s="217" t="s">
        <v>5154</v>
      </c>
      <c r="C118" s="225" t="s">
        <v>7463</v>
      </c>
      <c r="D118" s="217" t="s">
        <v>7464</v>
      </c>
      <c r="E118" s="226" t="s">
        <v>7306</v>
      </c>
      <c r="F118" s="226" t="s">
        <v>5704</v>
      </c>
      <c r="G118" s="217" t="s">
        <v>587</v>
      </c>
      <c r="H118" s="217" t="s">
        <v>7465</v>
      </c>
      <c r="I118" s="226" t="s">
        <v>7466</v>
      </c>
      <c r="J118" s="217" t="s">
        <v>7311</v>
      </c>
      <c r="K118" s="227" t="s">
        <v>7467</v>
      </c>
      <c r="L118" s="215" t="s">
        <v>7014</v>
      </c>
      <c r="M118" s="6" t="s">
        <v>5698</v>
      </c>
      <c r="N118" s="36" t="s">
        <v>587</v>
      </c>
      <c r="O118" s="36" t="s">
        <v>587</v>
      </c>
      <c r="P118" s="36" t="s">
        <v>7193</v>
      </c>
      <c r="Q118" s="215" t="s">
        <v>5373</v>
      </c>
    </row>
    <row r="119" customFormat="false" ht="64.5" hidden="false" customHeight="true" outlineLevel="0" collapsed="false">
      <c r="A119" s="217" t="s">
        <v>7468</v>
      </c>
      <c r="B119" s="217" t="s">
        <v>5154</v>
      </c>
      <c r="C119" s="225" t="s">
        <v>7469</v>
      </c>
      <c r="D119" s="217" t="s">
        <v>7470</v>
      </c>
      <c r="E119" s="226" t="s">
        <v>7306</v>
      </c>
      <c r="F119" s="217" t="s">
        <v>7471</v>
      </c>
      <c r="G119" s="217" t="s">
        <v>7472</v>
      </c>
      <c r="H119" s="217" t="s">
        <v>7473</v>
      </c>
      <c r="I119" s="226" t="s">
        <v>7474</v>
      </c>
      <c r="J119" s="217" t="s">
        <v>7311</v>
      </c>
      <c r="K119" s="227" t="s">
        <v>7475</v>
      </c>
      <c r="L119" s="215" t="s">
        <v>7014</v>
      </c>
      <c r="M119" s="6" t="s">
        <v>3359</v>
      </c>
      <c r="N119" s="36" t="s">
        <v>587</v>
      </c>
      <c r="O119" s="36" t="s">
        <v>7476</v>
      </c>
      <c r="P119" s="36" t="s">
        <v>7193</v>
      </c>
      <c r="Q119" s="215" t="s">
        <v>5373</v>
      </c>
    </row>
    <row r="120" customFormat="false" ht="64.5" hidden="false" customHeight="true" outlineLevel="0" collapsed="false">
      <c r="A120" s="217" t="s">
        <v>7477</v>
      </c>
      <c r="B120" s="217" t="s">
        <v>5175</v>
      </c>
      <c r="C120" s="225" t="s">
        <v>7478</v>
      </c>
      <c r="D120" s="217" t="s">
        <v>7479</v>
      </c>
      <c r="E120" s="226" t="s">
        <v>7480</v>
      </c>
      <c r="F120" s="217" t="s">
        <v>7481</v>
      </c>
      <c r="G120" s="217" t="s">
        <v>7482</v>
      </c>
      <c r="H120" s="226" t="s">
        <v>7483</v>
      </c>
      <c r="I120" s="226" t="s">
        <v>7484</v>
      </c>
      <c r="J120" s="217" t="s">
        <v>7311</v>
      </c>
      <c r="K120" s="227" t="s">
        <v>7485</v>
      </c>
      <c r="L120" s="215" t="s">
        <v>7014</v>
      </c>
      <c r="M120" s="6" t="s">
        <v>3401</v>
      </c>
      <c r="N120" s="36" t="s">
        <v>587</v>
      </c>
      <c r="O120" s="36" t="s">
        <v>587</v>
      </c>
      <c r="P120" s="36" t="s">
        <v>7168</v>
      </c>
      <c r="Q120" s="215" t="s">
        <v>5373</v>
      </c>
    </row>
    <row r="121" customFormat="false" ht="64.5" hidden="false" customHeight="true" outlineLevel="0" collapsed="false">
      <c r="A121" s="217" t="s">
        <v>7486</v>
      </c>
      <c r="B121" s="217" t="s">
        <v>5154</v>
      </c>
      <c r="C121" s="225" t="s">
        <v>7487</v>
      </c>
      <c r="D121" s="226" t="s">
        <v>7488</v>
      </c>
      <c r="E121" s="226" t="s">
        <v>7480</v>
      </c>
      <c r="F121" s="217" t="s">
        <v>7489</v>
      </c>
      <c r="G121" s="217" t="s">
        <v>7482</v>
      </c>
      <c r="H121" s="226" t="s">
        <v>7490</v>
      </c>
      <c r="I121" s="226" t="s">
        <v>7491</v>
      </c>
      <c r="J121" s="217" t="s">
        <v>7311</v>
      </c>
      <c r="K121" s="227" t="s">
        <v>7492</v>
      </c>
      <c r="L121" s="215" t="s">
        <v>7014</v>
      </c>
      <c r="M121" s="6" t="s">
        <v>3401</v>
      </c>
      <c r="N121" s="36" t="s">
        <v>587</v>
      </c>
      <c r="O121" s="36" t="s">
        <v>7313</v>
      </c>
      <c r="P121" s="36" t="s">
        <v>7168</v>
      </c>
      <c r="Q121" s="215" t="s">
        <v>7493</v>
      </c>
    </row>
    <row r="122" customFormat="false" ht="90" hidden="false" customHeight="true" outlineLevel="0" collapsed="false">
      <c r="A122" s="217" t="s">
        <v>7494</v>
      </c>
      <c r="B122" s="217" t="s">
        <v>5154</v>
      </c>
      <c r="C122" s="225" t="s">
        <v>7495</v>
      </c>
      <c r="D122" s="217" t="s">
        <v>7496</v>
      </c>
      <c r="E122" s="226" t="s">
        <v>7480</v>
      </c>
      <c r="F122" s="217" t="s">
        <v>7497</v>
      </c>
      <c r="G122" s="217" t="s">
        <v>7498</v>
      </c>
      <c r="H122" s="226" t="s">
        <v>7499</v>
      </c>
      <c r="I122" s="226" t="s">
        <v>7491</v>
      </c>
      <c r="J122" s="217" t="s">
        <v>7311</v>
      </c>
      <c r="K122" s="227" t="s">
        <v>7500</v>
      </c>
      <c r="L122" s="215" t="s">
        <v>7014</v>
      </c>
      <c r="M122" s="6" t="s">
        <v>3361</v>
      </c>
      <c r="N122" s="36" t="s">
        <v>587</v>
      </c>
      <c r="O122" s="36" t="s">
        <v>7313</v>
      </c>
      <c r="P122" s="36" t="s">
        <v>7168</v>
      </c>
      <c r="Q122" s="36" t="s">
        <v>7501</v>
      </c>
    </row>
    <row r="123" customFormat="false" ht="90" hidden="false" customHeight="true" outlineLevel="0" collapsed="false">
      <c r="A123" s="217" t="s">
        <v>7502</v>
      </c>
      <c r="B123" s="217" t="s">
        <v>5154</v>
      </c>
      <c r="C123" s="225" t="s">
        <v>7503</v>
      </c>
      <c r="D123" s="217" t="s">
        <v>7504</v>
      </c>
      <c r="E123" s="226" t="s">
        <v>7480</v>
      </c>
      <c r="F123" s="217" t="s">
        <v>7505</v>
      </c>
      <c r="G123" s="217" t="s">
        <v>7506</v>
      </c>
      <c r="H123" s="226" t="s">
        <v>7507</v>
      </c>
      <c r="I123" s="226" t="s">
        <v>7491</v>
      </c>
      <c r="J123" s="217" t="s">
        <v>7311</v>
      </c>
      <c r="K123" s="227" t="s">
        <v>7508</v>
      </c>
      <c r="L123" s="215" t="s">
        <v>7014</v>
      </c>
      <c r="M123" s="6" t="s">
        <v>3405</v>
      </c>
      <c r="N123" s="36" t="s">
        <v>587</v>
      </c>
      <c r="O123" s="36" t="s">
        <v>7313</v>
      </c>
      <c r="P123" s="36" t="s">
        <v>7168</v>
      </c>
      <c r="Q123" s="36" t="s">
        <v>7509</v>
      </c>
    </row>
    <row r="124" customFormat="false" ht="101.25" hidden="false" customHeight="true" outlineLevel="0" collapsed="false">
      <c r="A124" s="217" t="s">
        <v>7510</v>
      </c>
      <c r="B124" s="217" t="s">
        <v>5154</v>
      </c>
      <c r="C124" s="225" t="s">
        <v>7511</v>
      </c>
      <c r="D124" s="217" t="s">
        <v>7496</v>
      </c>
      <c r="E124" s="226" t="s">
        <v>7480</v>
      </c>
      <c r="F124" s="217" t="s">
        <v>7512</v>
      </c>
      <c r="G124" s="217" t="s">
        <v>7513</v>
      </c>
      <c r="H124" s="226" t="s">
        <v>7514</v>
      </c>
      <c r="I124" s="226" t="s">
        <v>7491</v>
      </c>
      <c r="J124" s="217" t="s">
        <v>7311</v>
      </c>
      <c r="K124" s="227" t="s">
        <v>7515</v>
      </c>
      <c r="L124" s="215" t="s">
        <v>7014</v>
      </c>
      <c r="M124" s="6" t="s">
        <v>3428</v>
      </c>
      <c r="N124" s="36" t="s">
        <v>587</v>
      </c>
      <c r="O124" s="36" t="s">
        <v>7313</v>
      </c>
      <c r="P124" s="36" t="s">
        <v>7168</v>
      </c>
      <c r="Q124" s="36" t="s">
        <v>7516</v>
      </c>
    </row>
    <row r="125" customFormat="false" ht="115.5" hidden="false" customHeight="true" outlineLevel="0" collapsed="false">
      <c r="A125" s="217" t="s">
        <v>7517</v>
      </c>
      <c r="B125" s="217" t="s">
        <v>5154</v>
      </c>
      <c r="C125" s="225" t="s">
        <v>7518</v>
      </c>
      <c r="D125" s="217" t="s">
        <v>7519</v>
      </c>
      <c r="E125" s="226" t="s">
        <v>7480</v>
      </c>
      <c r="F125" s="217" t="s">
        <v>7520</v>
      </c>
      <c r="G125" s="217" t="s">
        <v>7521</v>
      </c>
      <c r="H125" s="226" t="s">
        <v>7522</v>
      </c>
      <c r="I125" s="226" t="s">
        <v>7491</v>
      </c>
      <c r="J125" s="217" t="s">
        <v>7311</v>
      </c>
      <c r="K125" s="227" t="s">
        <v>7523</v>
      </c>
      <c r="L125" s="215" t="s">
        <v>7014</v>
      </c>
      <c r="M125" s="6" t="s">
        <v>3410</v>
      </c>
      <c r="N125" s="36" t="s">
        <v>587</v>
      </c>
      <c r="O125" s="36" t="s">
        <v>7313</v>
      </c>
      <c r="P125" s="36" t="s">
        <v>7168</v>
      </c>
      <c r="Q125" s="36" t="s">
        <v>7524</v>
      </c>
    </row>
    <row r="126" customFormat="false" ht="115.5" hidden="false" customHeight="true" outlineLevel="0" collapsed="false">
      <c r="A126" s="217" t="s">
        <v>7525</v>
      </c>
      <c r="B126" s="217" t="s">
        <v>5154</v>
      </c>
      <c r="C126" s="225" t="s">
        <v>7526</v>
      </c>
      <c r="D126" s="217" t="s">
        <v>7527</v>
      </c>
      <c r="E126" s="226" t="s">
        <v>7480</v>
      </c>
      <c r="F126" s="217" t="s">
        <v>7528</v>
      </c>
      <c r="G126" s="217" t="s">
        <v>7529</v>
      </c>
      <c r="H126" s="226" t="s">
        <v>7530</v>
      </c>
      <c r="I126" s="226" t="s">
        <v>7531</v>
      </c>
      <c r="J126" s="217" t="s">
        <v>7311</v>
      </c>
      <c r="K126" s="227" t="s">
        <v>7532</v>
      </c>
      <c r="L126" s="215" t="s">
        <v>7014</v>
      </c>
      <c r="M126" s="6" t="s">
        <v>3933</v>
      </c>
      <c r="N126" s="36" t="s">
        <v>587</v>
      </c>
      <c r="O126" s="36" t="s">
        <v>7313</v>
      </c>
      <c r="P126" s="36" t="s">
        <v>7168</v>
      </c>
      <c r="Q126" s="215" t="s">
        <v>5373</v>
      </c>
    </row>
    <row r="127" customFormat="false" ht="115.5" hidden="false" customHeight="true" outlineLevel="0" collapsed="false">
      <c r="A127" s="217" t="s">
        <v>7533</v>
      </c>
      <c r="B127" s="217" t="s">
        <v>5154</v>
      </c>
      <c r="C127" s="225" t="s">
        <v>7534</v>
      </c>
      <c r="D127" s="217" t="s">
        <v>7527</v>
      </c>
      <c r="E127" s="226" t="s">
        <v>7480</v>
      </c>
      <c r="F127" s="217" t="s">
        <v>7535</v>
      </c>
      <c r="G127" s="217" t="s">
        <v>7536</v>
      </c>
      <c r="H127" s="226" t="s">
        <v>7537</v>
      </c>
      <c r="I127" s="226" t="s">
        <v>7531</v>
      </c>
      <c r="J127" s="217" t="s">
        <v>7311</v>
      </c>
      <c r="K127" s="227" t="s">
        <v>7538</v>
      </c>
      <c r="L127" s="215" t="s">
        <v>7014</v>
      </c>
      <c r="M127" s="6" t="s">
        <v>3942</v>
      </c>
      <c r="N127" s="36" t="s">
        <v>587</v>
      </c>
      <c r="O127" s="36" t="s">
        <v>7313</v>
      </c>
      <c r="P127" s="36" t="s">
        <v>7168</v>
      </c>
      <c r="Q127" s="215" t="s">
        <v>7539</v>
      </c>
    </row>
    <row r="128" customFormat="false" ht="77.25" hidden="false" customHeight="true" outlineLevel="0" collapsed="false">
      <c r="A128" s="217" t="s">
        <v>7540</v>
      </c>
      <c r="B128" s="217" t="s">
        <v>5154</v>
      </c>
      <c r="C128" s="225" t="s">
        <v>7541</v>
      </c>
      <c r="D128" s="217" t="s">
        <v>7542</v>
      </c>
      <c r="E128" s="226" t="s">
        <v>7480</v>
      </c>
      <c r="F128" s="217" t="s">
        <v>7543</v>
      </c>
      <c r="G128" s="217" t="s">
        <v>587</v>
      </c>
      <c r="H128" s="217" t="s">
        <v>7544</v>
      </c>
      <c r="I128" s="226" t="s">
        <v>7545</v>
      </c>
      <c r="J128" s="217" t="s">
        <v>7311</v>
      </c>
      <c r="K128" s="227" t="s">
        <v>7546</v>
      </c>
      <c r="L128" s="215" t="s">
        <v>7014</v>
      </c>
      <c r="M128" s="6" t="s">
        <v>7547</v>
      </c>
      <c r="N128" s="36" t="s">
        <v>587</v>
      </c>
      <c r="O128" s="36" t="s">
        <v>587</v>
      </c>
      <c r="P128" s="36" t="s">
        <v>7168</v>
      </c>
      <c r="Q128" s="215" t="s">
        <v>5373</v>
      </c>
    </row>
    <row r="129" customFormat="false" ht="64.5" hidden="false" customHeight="true" outlineLevel="0" collapsed="false">
      <c r="A129" s="217" t="s">
        <v>6016</v>
      </c>
      <c r="B129" s="217" t="s">
        <v>5154</v>
      </c>
      <c r="C129" s="225" t="s">
        <v>7548</v>
      </c>
      <c r="D129" s="217" t="s">
        <v>7549</v>
      </c>
      <c r="E129" s="226" t="s">
        <v>7306</v>
      </c>
      <c r="F129" s="217" t="s">
        <v>7550</v>
      </c>
      <c r="G129" s="217" t="s">
        <v>7551</v>
      </c>
      <c r="H129" s="217" t="s">
        <v>7552</v>
      </c>
      <c r="I129" s="226" t="s">
        <v>7553</v>
      </c>
      <c r="J129" s="217" t="s">
        <v>7311</v>
      </c>
      <c r="K129" s="227" t="s">
        <v>7554</v>
      </c>
      <c r="L129" s="215" t="s">
        <v>7014</v>
      </c>
      <c r="M129" s="6" t="s">
        <v>7555</v>
      </c>
      <c r="N129" s="36" t="s">
        <v>587</v>
      </c>
      <c r="O129" s="36" t="s">
        <v>7556</v>
      </c>
      <c r="P129" s="36" t="s">
        <v>7193</v>
      </c>
      <c r="Q129" s="215" t="s">
        <v>5373</v>
      </c>
    </row>
    <row r="130" customFormat="false" ht="112.5" hidden="false" customHeight="true" outlineLevel="0" collapsed="false">
      <c r="A130" s="217" t="s">
        <v>5681</v>
      </c>
      <c r="B130" s="217" t="s">
        <v>5154</v>
      </c>
      <c r="C130" s="225" t="s">
        <v>7557</v>
      </c>
      <c r="D130" s="217" t="s">
        <v>7558</v>
      </c>
      <c r="E130" s="226" t="s">
        <v>7306</v>
      </c>
      <c r="F130" s="217" t="s">
        <v>7559</v>
      </c>
      <c r="G130" s="217" t="s">
        <v>7560</v>
      </c>
      <c r="H130" s="217" t="s">
        <v>7561</v>
      </c>
      <c r="I130" s="226" t="s">
        <v>7562</v>
      </c>
      <c r="J130" s="217" t="s">
        <v>7311</v>
      </c>
      <c r="K130" s="227" t="s">
        <v>7563</v>
      </c>
      <c r="L130" s="215" t="s">
        <v>7014</v>
      </c>
      <c r="M130" s="6" t="s">
        <v>7564</v>
      </c>
      <c r="N130" s="36" t="s">
        <v>7565</v>
      </c>
      <c r="O130" s="36" t="s">
        <v>7566</v>
      </c>
      <c r="P130" s="36" t="s">
        <v>7193</v>
      </c>
      <c r="Q130" s="215" t="s">
        <v>5373</v>
      </c>
    </row>
    <row r="131" customFormat="false" ht="51.75" hidden="false" customHeight="true" outlineLevel="0" collapsed="false">
      <c r="A131" s="217" t="s">
        <v>5695</v>
      </c>
      <c r="B131" s="217" t="s">
        <v>5154</v>
      </c>
      <c r="C131" s="225" t="s">
        <v>7567</v>
      </c>
      <c r="D131" s="217" t="s">
        <v>7568</v>
      </c>
      <c r="E131" s="226" t="s">
        <v>7306</v>
      </c>
      <c r="F131" s="217" t="s">
        <v>7569</v>
      </c>
      <c r="G131" s="217" t="s">
        <v>587</v>
      </c>
      <c r="H131" s="217" t="s">
        <v>7570</v>
      </c>
      <c r="I131" s="226" t="s">
        <v>7571</v>
      </c>
      <c r="J131" s="217" t="s">
        <v>7311</v>
      </c>
      <c r="K131" s="227" t="s">
        <v>7572</v>
      </c>
      <c r="L131" s="215" t="s">
        <v>7014</v>
      </c>
      <c r="M131" s="6" t="s">
        <v>3463</v>
      </c>
      <c r="N131" s="36" t="s">
        <v>587</v>
      </c>
      <c r="O131" s="36" t="s">
        <v>7573</v>
      </c>
      <c r="P131" s="36" t="s">
        <v>7193</v>
      </c>
      <c r="Q131" s="215" t="s">
        <v>5373</v>
      </c>
    </row>
    <row r="132" customFormat="false" ht="64.5" hidden="false" customHeight="true" outlineLevel="0" collapsed="false">
      <c r="A132" s="217" t="s">
        <v>7574</v>
      </c>
      <c r="B132" s="217" t="s">
        <v>5154</v>
      </c>
      <c r="C132" s="225" t="s">
        <v>7575</v>
      </c>
      <c r="D132" s="217" t="s">
        <v>7576</v>
      </c>
      <c r="E132" s="226" t="s">
        <v>7306</v>
      </c>
      <c r="F132" s="217" t="s">
        <v>7577</v>
      </c>
      <c r="G132" s="217" t="s">
        <v>7578</v>
      </c>
      <c r="H132" s="226" t="s">
        <v>7579</v>
      </c>
      <c r="I132" s="226" t="s">
        <v>7580</v>
      </c>
      <c r="J132" s="217" t="s">
        <v>7311</v>
      </c>
      <c r="K132" s="227" t="s">
        <v>7581</v>
      </c>
      <c r="L132" s="215" t="s">
        <v>7014</v>
      </c>
      <c r="M132" s="6" t="s">
        <v>587</v>
      </c>
      <c r="N132" s="36" t="s">
        <v>587</v>
      </c>
      <c r="O132" s="215" t="s">
        <v>7582</v>
      </c>
      <c r="P132" s="36" t="s">
        <v>84</v>
      </c>
      <c r="Q132" s="215" t="s">
        <v>7583</v>
      </c>
    </row>
    <row r="133" customFormat="false" ht="39" hidden="false" customHeight="true" outlineLevel="0" collapsed="false">
      <c r="A133" s="217" t="s">
        <v>7584</v>
      </c>
      <c r="B133" s="217" t="s">
        <v>5154</v>
      </c>
      <c r="C133" s="225" t="s">
        <v>7585</v>
      </c>
      <c r="D133" s="217" t="s">
        <v>7576</v>
      </c>
      <c r="E133" s="226" t="s">
        <v>7306</v>
      </c>
      <c r="F133" s="217" t="s">
        <v>7586</v>
      </c>
      <c r="G133" s="217" t="s">
        <v>7587</v>
      </c>
      <c r="H133" s="226" t="s">
        <v>7579</v>
      </c>
      <c r="I133" s="226" t="s">
        <v>7580</v>
      </c>
      <c r="J133" s="217" t="s">
        <v>7311</v>
      </c>
      <c r="K133" s="227" t="s">
        <v>7588</v>
      </c>
      <c r="L133" s="215" t="s">
        <v>7014</v>
      </c>
      <c r="M133" s="6" t="s">
        <v>587</v>
      </c>
      <c r="N133" s="36" t="s">
        <v>587</v>
      </c>
      <c r="O133" s="215" t="s">
        <v>7582</v>
      </c>
      <c r="P133" s="36" t="s">
        <v>84</v>
      </c>
      <c r="Q133" s="215" t="s">
        <v>7583</v>
      </c>
    </row>
    <row r="134" customFormat="false" ht="51.75" hidden="false" customHeight="true" outlineLevel="0" collapsed="false">
      <c r="A134" s="217" t="s">
        <v>7589</v>
      </c>
      <c r="B134" s="217" t="s">
        <v>5154</v>
      </c>
      <c r="C134" s="225" t="s">
        <v>7590</v>
      </c>
      <c r="D134" s="217" t="s">
        <v>7591</v>
      </c>
      <c r="E134" s="226" t="s">
        <v>7306</v>
      </c>
      <c r="F134" s="217" t="s">
        <v>7592</v>
      </c>
      <c r="G134" s="217" t="s">
        <v>7593</v>
      </c>
      <c r="H134" s="217" t="s">
        <v>7594</v>
      </c>
      <c r="I134" s="226" t="s">
        <v>7595</v>
      </c>
      <c r="J134" s="217" t="s">
        <v>7311</v>
      </c>
      <c r="K134" s="227" t="s">
        <v>7596</v>
      </c>
      <c r="L134" s="215" t="s">
        <v>7014</v>
      </c>
      <c r="M134" s="6" t="s">
        <v>587</v>
      </c>
      <c r="N134" s="36" t="s">
        <v>587</v>
      </c>
      <c r="O134" s="36" t="s">
        <v>587</v>
      </c>
      <c r="P134" s="36" t="s">
        <v>84</v>
      </c>
      <c r="Q134" s="215" t="s">
        <v>5373</v>
      </c>
    </row>
    <row r="135" customFormat="false" ht="39" hidden="false" customHeight="true" outlineLevel="0" collapsed="false">
      <c r="A135" s="217" t="s">
        <v>7597</v>
      </c>
      <c r="B135" s="217" t="s">
        <v>5154</v>
      </c>
      <c r="C135" s="225" t="s">
        <v>7598</v>
      </c>
      <c r="D135" s="217" t="s">
        <v>7576</v>
      </c>
      <c r="E135" s="226" t="s">
        <v>7306</v>
      </c>
      <c r="F135" s="217" t="s">
        <v>7599</v>
      </c>
      <c r="G135" s="217" t="s">
        <v>7600</v>
      </c>
      <c r="H135" s="217" t="s">
        <v>7601</v>
      </c>
      <c r="I135" s="226" t="s">
        <v>7602</v>
      </c>
      <c r="J135" s="217" t="s">
        <v>7311</v>
      </c>
      <c r="K135" s="227" t="s">
        <v>7603</v>
      </c>
      <c r="L135" s="215" t="s">
        <v>7014</v>
      </c>
      <c r="M135" s="6" t="s">
        <v>587</v>
      </c>
      <c r="N135" s="36" t="s">
        <v>587</v>
      </c>
      <c r="O135" s="215" t="s">
        <v>7604</v>
      </c>
      <c r="P135" s="36" t="s">
        <v>84</v>
      </c>
      <c r="Q135" s="215" t="s">
        <v>7583</v>
      </c>
    </row>
    <row r="136" customFormat="false" ht="51.75" hidden="false" customHeight="true" outlineLevel="0" collapsed="false">
      <c r="A136" s="217" t="s">
        <v>7605</v>
      </c>
      <c r="B136" s="217" t="s">
        <v>5154</v>
      </c>
      <c r="C136" s="225" t="s">
        <v>7606</v>
      </c>
      <c r="D136" s="217" t="s">
        <v>7576</v>
      </c>
      <c r="E136" s="226" t="s">
        <v>7306</v>
      </c>
      <c r="F136" s="217" t="s">
        <v>7607</v>
      </c>
      <c r="G136" s="217" t="s">
        <v>7608</v>
      </c>
      <c r="H136" s="226" t="s">
        <v>7609</v>
      </c>
      <c r="I136" s="226" t="s">
        <v>7610</v>
      </c>
      <c r="J136" s="217" t="s">
        <v>7311</v>
      </c>
      <c r="K136" s="227" t="s">
        <v>7611</v>
      </c>
      <c r="L136" s="215" t="s">
        <v>7014</v>
      </c>
      <c r="M136" s="6" t="s">
        <v>587</v>
      </c>
      <c r="N136" s="36" t="s">
        <v>587</v>
      </c>
      <c r="O136" s="36" t="s">
        <v>587</v>
      </c>
      <c r="P136" s="36" t="s">
        <v>587</v>
      </c>
      <c r="Q136" s="215" t="s">
        <v>7583</v>
      </c>
    </row>
    <row r="137" customFormat="false" ht="51.75" hidden="false" customHeight="true" outlineLevel="0" collapsed="false">
      <c r="A137" s="217" t="s">
        <v>7612</v>
      </c>
      <c r="B137" s="217" t="s">
        <v>5154</v>
      </c>
      <c r="C137" s="225" t="s">
        <v>7613</v>
      </c>
      <c r="D137" s="217" t="s">
        <v>7614</v>
      </c>
      <c r="E137" s="226" t="s">
        <v>7306</v>
      </c>
      <c r="F137" s="217" t="s">
        <v>7615</v>
      </c>
      <c r="G137" s="217" t="s">
        <v>7616</v>
      </c>
      <c r="H137" s="217" t="s">
        <v>587</v>
      </c>
      <c r="I137" s="226" t="s">
        <v>7610</v>
      </c>
      <c r="J137" s="217" t="s">
        <v>7311</v>
      </c>
      <c r="K137" s="227" t="s">
        <v>7617</v>
      </c>
      <c r="L137" s="215" t="s">
        <v>7014</v>
      </c>
      <c r="M137" s="6" t="s">
        <v>587</v>
      </c>
      <c r="N137" s="36" t="s">
        <v>587</v>
      </c>
      <c r="O137" s="36" t="s">
        <v>587</v>
      </c>
      <c r="P137" s="36" t="s">
        <v>84</v>
      </c>
      <c r="Q137" s="215" t="s">
        <v>5373</v>
      </c>
    </row>
    <row r="138" customFormat="false" ht="26.25" hidden="false" customHeight="true" outlineLevel="0" collapsed="false">
      <c r="A138" s="217" t="s">
        <v>7618</v>
      </c>
      <c r="B138" s="217" t="s">
        <v>5154</v>
      </c>
      <c r="C138" s="225" t="s">
        <v>7619</v>
      </c>
      <c r="D138" s="217" t="s">
        <v>7620</v>
      </c>
      <c r="E138" s="226" t="s">
        <v>7621</v>
      </c>
      <c r="F138" s="217" t="s">
        <v>7622</v>
      </c>
      <c r="G138" s="217" t="s">
        <v>587</v>
      </c>
      <c r="H138" s="217" t="s">
        <v>587</v>
      </c>
      <c r="I138" s="226" t="s">
        <v>7623</v>
      </c>
      <c r="J138" s="217" t="s">
        <v>7311</v>
      </c>
      <c r="K138" s="227" t="s">
        <v>7624</v>
      </c>
      <c r="L138" s="215" t="s">
        <v>7014</v>
      </c>
      <c r="M138" s="6" t="s">
        <v>587</v>
      </c>
      <c r="N138" s="36" t="s">
        <v>587</v>
      </c>
      <c r="O138" s="36" t="s">
        <v>587</v>
      </c>
      <c r="P138" s="36" t="s">
        <v>7144</v>
      </c>
      <c r="Q138" s="215" t="s">
        <v>5373</v>
      </c>
    </row>
    <row r="139" customFormat="false" ht="51.75" hidden="false" customHeight="true" outlineLevel="0" collapsed="false">
      <c r="A139" s="217" t="s">
        <v>7625</v>
      </c>
      <c r="B139" s="217" t="s">
        <v>5154</v>
      </c>
      <c r="C139" s="225" t="s">
        <v>7626</v>
      </c>
      <c r="D139" s="217" t="s">
        <v>7627</v>
      </c>
      <c r="E139" s="226" t="s">
        <v>7628</v>
      </c>
      <c r="F139" s="217" t="s">
        <v>7629</v>
      </c>
      <c r="G139" s="217" t="s">
        <v>587</v>
      </c>
      <c r="H139" s="217" t="s">
        <v>587</v>
      </c>
      <c r="I139" s="226" t="s">
        <v>7630</v>
      </c>
      <c r="J139" s="217" t="s">
        <v>7311</v>
      </c>
      <c r="K139" s="227" t="s">
        <v>7631</v>
      </c>
      <c r="L139" s="215" t="s">
        <v>7014</v>
      </c>
      <c r="M139" s="6" t="s">
        <v>587</v>
      </c>
      <c r="N139" s="36" t="s">
        <v>587</v>
      </c>
      <c r="O139" s="36" t="s">
        <v>587</v>
      </c>
      <c r="P139" s="36" t="s">
        <v>7144</v>
      </c>
      <c r="Q139" s="215" t="s">
        <v>5373</v>
      </c>
    </row>
    <row r="140" customFormat="false" ht="26.25" hidden="false" customHeight="true" outlineLevel="0" collapsed="false">
      <c r="A140" s="217" t="s">
        <v>7632</v>
      </c>
      <c r="B140" s="217" t="s">
        <v>5154</v>
      </c>
      <c r="C140" s="225" t="s">
        <v>7633</v>
      </c>
      <c r="D140" s="217" t="s">
        <v>7634</v>
      </c>
      <c r="E140" s="226" t="s">
        <v>7480</v>
      </c>
      <c r="F140" s="217" t="s">
        <v>7635</v>
      </c>
      <c r="G140" s="217" t="s">
        <v>7636</v>
      </c>
      <c r="H140" s="217" t="s">
        <v>7637</v>
      </c>
      <c r="I140" s="226" t="s">
        <v>7638</v>
      </c>
      <c r="J140" s="217" t="s">
        <v>7311</v>
      </c>
      <c r="K140" s="227" t="s">
        <v>7639</v>
      </c>
      <c r="L140" s="215" t="s">
        <v>7014</v>
      </c>
      <c r="M140" s="6" t="s">
        <v>587</v>
      </c>
      <c r="N140" s="36" t="s">
        <v>587</v>
      </c>
      <c r="O140" s="36" t="s">
        <v>7640</v>
      </c>
      <c r="P140" s="36" t="s">
        <v>84</v>
      </c>
      <c r="Q140" s="215" t="s">
        <v>5477</v>
      </c>
    </row>
    <row r="141" customFormat="false" ht="51.75" hidden="false" customHeight="true" outlineLevel="0" collapsed="false">
      <c r="A141" s="217" t="s">
        <v>7641</v>
      </c>
      <c r="B141" s="217" t="s">
        <v>5154</v>
      </c>
      <c r="C141" s="225" t="s">
        <v>7642</v>
      </c>
      <c r="D141" s="217" t="s">
        <v>7643</v>
      </c>
      <c r="E141" s="226" t="s">
        <v>7306</v>
      </c>
      <c r="F141" s="217" t="s">
        <v>7644</v>
      </c>
      <c r="G141" s="226" t="s">
        <v>7645</v>
      </c>
      <c r="H141" s="226" t="s">
        <v>7646</v>
      </c>
      <c r="I141" s="226" t="s">
        <v>7647</v>
      </c>
      <c r="J141" s="217" t="s">
        <v>7311</v>
      </c>
      <c r="K141" s="227" t="s">
        <v>7648</v>
      </c>
      <c r="L141" s="215" t="s">
        <v>7014</v>
      </c>
      <c r="M141" s="6" t="s">
        <v>587</v>
      </c>
      <c r="N141" s="36" t="s">
        <v>587</v>
      </c>
      <c r="O141" s="36" t="s">
        <v>7649</v>
      </c>
      <c r="P141" s="36" t="s">
        <v>587</v>
      </c>
      <c r="Q141" s="215" t="s">
        <v>5373</v>
      </c>
    </row>
    <row r="142" customFormat="false" ht="51.75" hidden="false" customHeight="true" outlineLevel="0" collapsed="false">
      <c r="A142" s="217" t="s">
        <v>7650</v>
      </c>
      <c r="B142" s="217" t="s">
        <v>5154</v>
      </c>
      <c r="C142" s="225" t="s">
        <v>7651</v>
      </c>
      <c r="D142" s="217" t="s">
        <v>7652</v>
      </c>
      <c r="E142" s="226" t="s">
        <v>7306</v>
      </c>
      <c r="F142" s="217" t="s">
        <v>7653</v>
      </c>
      <c r="G142" s="217" t="s">
        <v>7654</v>
      </c>
      <c r="H142" s="226" t="s">
        <v>7655</v>
      </c>
      <c r="I142" s="226" t="s">
        <v>7656</v>
      </c>
      <c r="J142" s="217" t="s">
        <v>7311</v>
      </c>
      <c r="K142" s="227" t="s">
        <v>7657</v>
      </c>
      <c r="L142" s="215" t="s">
        <v>7014</v>
      </c>
      <c r="M142" s="6" t="s">
        <v>587</v>
      </c>
      <c r="N142" s="36" t="s">
        <v>587</v>
      </c>
      <c r="O142" s="215" t="s">
        <v>7658</v>
      </c>
      <c r="P142" s="36" t="s">
        <v>258</v>
      </c>
      <c r="Q142" s="215" t="s">
        <v>5373</v>
      </c>
    </row>
    <row r="143" customFormat="false" ht="64.5" hidden="false" customHeight="true" outlineLevel="0" collapsed="false">
      <c r="A143" s="217" t="s">
        <v>7659</v>
      </c>
      <c r="B143" s="217" t="s">
        <v>5154</v>
      </c>
      <c r="C143" s="225" t="s">
        <v>7660</v>
      </c>
      <c r="D143" s="217" t="s">
        <v>7661</v>
      </c>
      <c r="E143" s="226" t="s">
        <v>7480</v>
      </c>
      <c r="F143" s="217" t="s">
        <v>7662</v>
      </c>
      <c r="G143" s="217" t="s">
        <v>7663</v>
      </c>
      <c r="H143" s="217" t="s">
        <v>7664</v>
      </c>
      <c r="I143" s="226" t="s">
        <v>7665</v>
      </c>
      <c r="J143" s="217" t="s">
        <v>7311</v>
      </c>
      <c r="K143" s="227" t="s">
        <v>7666</v>
      </c>
      <c r="L143" s="215" t="s">
        <v>7014</v>
      </c>
      <c r="M143" s="6" t="s">
        <v>3410</v>
      </c>
      <c r="N143" s="36" t="s">
        <v>587</v>
      </c>
      <c r="O143" s="36" t="s">
        <v>7667</v>
      </c>
      <c r="P143" s="36" t="s">
        <v>258</v>
      </c>
      <c r="Q143" s="215" t="s">
        <v>5477</v>
      </c>
    </row>
    <row r="144" customFormat="false" ht="26.25" hidden="false" customHeight="true" outlineLevel="0" collapsed="false">
      <c r="A144" s="217" t="s">
        <v>7668</v>
      </c>
      <c r="B144" s="217" t="s">
        <v>5154</v>
      </c>
      <c r="C144" s="225" t="s">
        <v>7669</v>
      </c>
      <c r="D144" s="217" t="s">
        <v>7670</v>
      </c>
      <c r="E144" s="226" t="s">
        <v>7306</v>
      </c>
      <c r="F144" s="217" t="s">
        <v>7671</v>
      </c>
      <c r="G144" s="217" t="s">
        <v>7672</v>
      </c>
      <c r="H144" s="226" t="s">
        <v>7673</v>
      </c>
      <c r="I144" s="226" t="s">
        <v>7674</v>
      </c>
      <c r="J144" s="217" t="s">
        <v>7311</v>
      </c>
      <c r="K144" s="227" t="s">
        <v>7675</v>
      </c>
      <c r="L144" s="215" t="s">
        <v>7014</v>
      </c>
      <c r="M144" s="6" t="s">
        <v>587</v>
      </c>
      <c r="N144" s="36" t="s">
        <v>587</v>
      </c>
      <c r="O144" s="36" t="s">
        <v>587</v>
      </c>
      <c r="P144" s="36" t="s">
        <v>587</v>
      </c>
      <c r="Q144" s="215" t="s">
        <v>5477</v>
      </c>
    </row>
    <row r="145" customFormat="false" ht="77.25" hidden="false" customHeight="true" outlineLevel="0" collapsed="false">
      <c r="A145" s="217" t="s">
        <v>7676</v>
      </c>
      <c r="B145" s="217" t="s">
        <v>5154</v>
      </c>
      <c r="C145" s="227" t="s">
        <v>7677</v>
      </c>
      <c r="D145" s="226" t="s">
        <v>7678</v>
      </c>
      <c r="E145" s="226" t="s">
        <v>7679</v>
      </c>
      <c r="F145" s="217" t="s">
        <v>7680</v>
      </c>
      <c r="G145" s="217" t="s">
        <v>7681</v>
      </c>
      <c r="H145" s="226" t="s">
        <v>7682</v>
      </c>
      <c r="I145" s="226" t="s">
        <v>7683</v>
      </c>
      <c r="J145" s="217" t="s">
        <v>7311</v>
      </c>
      <c r="K145" s="227" t="s">
        <v>7684</v>
      </c>
      <c r="L145" s="215" t="s">
        <v>7014</v>
      </c>
      <c r="M145" s="6" t="s">
        <v>587</v>
      </c>
      <c r="N145" s="36" t="s">
        <v>587</v>
      </c>
      <c r="O145" s="36" t="s">
        <v>587</v>
      </c>
      <c r="P145" s="36" t="s">
        <v>587</v>
      </c>
      <c r="Q145" s="36" t="s">
        <v>587</v>
      </c>
    </row>
    <row r="146" customFormat="false" ht="26.25" hidden="false" customHeight="true" outlineLevel="0" collapsed="false">
      <c r="A146" s="217" t="s">
        <v>7685</v>
      </c>
      <c r="B146" s="217" t="s">
        <v>5154</v>
      </c>
      <c r="C146" s="225" t="s">
        <v>7686</v>
      </c>
      <c r="D146" s="217" t="s">
        <v>7591</v>
      </c>
      <c r="E146" s="226" t="s">
        <v>7306</v>
      </c>
      <c r="F146" s="217" t="s">
        <v>7687</v>
      </c>
      <c r="G146" s="217" t="s">
        <v>7688</v>
      </c>
      <c r="H146" s="226" t="s">
        <v>7689</v>
      </c>
      <c r="I146" s="226" t="s">
        <v>7690</v>
      </c>
      <c r="J146" s="217" t="s">
        <v>7311</v>
      </c>
      <c r="K146" s="227" t="s">
        <v>7691</v>
      </c>
      <c r="L146" s="215" t="s">
        <v>7014</v>
      </c>
      <c r="M146" s="6" t="s">
        <v>587</v>
      </c>
      <c r="N146" s="36" t="s">
        <v>587</v>
      </c>
      <c r="O146" s="36" t="s">
        <v>587</v>
      </c>
      <c r="P146" s="36" t="s">
        <v>587</v>
      </c>
      <c r="Q146" s="36" t="s">
        <v>587</v>
      </c>
    </row>
    <row r="147" customFormat="false" ht="39" hidden="false" customHeight="true" outlineLevel="0" collapsed="false">
      <c r="A147" s="217" t="s">
        <v>7692</v>
      </c>
      <c r="B147" s="217" t="s">
        <v>5154</v>
      </c>
      <c r="C147" s="225" t="s">
        <v>7693</v>
      </c>
      <c r="D147" s="226" t="s">
        <v>7694</v>
      </c>
      <c r="E147" s="217" t="s">
        <v>587</v>
      </c>
      <c r="F147" s="217" t="s">
        <v>7695</v>
      </c>
      <c r="G147" s="217" t="s">
        <v>587</v>
      </c>
      <c r="H147" s="217" t="s">
        <v>587</v>
      </c>
      <c r="I147" s="226" t="s">
        <v>7696</v>
      </c>
      <c r="J147" s="217" t="s">
        <v>7311</v>
      </c>
      <c r="K147" s="227" t="s">
        <v>7697</v>
      </c>
      <c r="L147" s="215" t="s">
        <v>7014</v>
      </c>
      <c r="M147" s="6" t="s">
        <v>587</v>
      </c>
      <c r="N147" s="36" t="s">
        <v>587</v>
      </c>
      <c r="O147" s="36" t="s">
        <v>587</v>
      </c>
      <c r="P147" s="36" t="s">
        <v>587</v>
      </c>
      <c r="Q147" s="36" t="s">
        <v>587</v>
      </c>
    </row>
    <row r="148" customFormat="false" ht="64.5" hidden="false" customHeight="true" outlineLevel="0" collapsed="false">
      <c r="A148" s="217" t="s">
        <v>7698</v>
      </c>
      <c r="B148" s="217" t="s">
        <v>5154</v>
      </c>
      <c r="C148" s="225" t="s">
        <v>7699</v>
      </c>
      <c r="D148" s="217" t="s">
        <v>7383</v>
      </c>
      <c r="E148" s="226" t="s">
        <v>7306</v>
      </c>
      <c r="F148" s="217" t="s">
        <v>7700</v>
      </c>
      <c r="G148" s="217" t="s">
        <v>7701</v>
      </c>
      <c r="H148" s="217" t="s">
        <v>7702</v>
      </c>
      <c r="I148" s="226" t="s">
        <v>7703</v>
      </c>
      <c r="J148" s="217" t="s">
        <v>7311</v>
      </c>
      <c r="K148" s="227" t="s">
        <v>7704</v>
      </c>
      <c r="L148" s="215" t="s">
        <v>7014</v>
      </c>
      <c r="M148" s="6" t="s">
        <v>3456</v>
      </c>
      <c r="N148" s="36" t="s">
        <v>587</v>
      </c>
      <c r="O148" s="36" t="s">
        <v>587</v>
      </c>
      <c r="P148" s="36" t="s">
        <v>7193</v>
      </c>
      <c r="Q148" s="215" t="s">
        <v>5373</v>
      </c>
    </row>
    <row r="149" customFormat="false" ht="39" hidden="false" customHeight="true" outlineLevel="0" collapsed="false">
      <c r="A149" s="217" t="s">
        <v>7705</v>
      </c>
      <c r="B149" s="217" t="s">
        <v>5154</v>
      </c>
      <c r="C149" s="225" t="s">
        <v>7706</v>
      </c>
      <c r="D149" s="217" t="s">
        <v>7707</v>
      </c>
      <c r="E149" s="226" t="s">
        <v>7306</v>
      </c>
      <c r="F149" s="217" t="s">
        <v>7708</v>
      </c>
      <c r="G149" s="217" t="s">
        <v>7709</v>
      </c>
      <c r="H149" s="217" t="s">
        <v>7710</v>
      </c>
      <c r="I149" s="226" t="s">
        <v>7703</v>
      </c>
      <c r="J149" s="217" t="s">
        <v>7311</v>
      </c>
      <c r="K149" s="227" t="s">
        <v>7711</v>
      </c>
      <c r="L149" s="215" t="s">
        <v>7014</v>
      </c>
      <c r="M149" s="6" t="s">
        <v>3478</v>
      </c>
      <c r="N149" s="36" t="s">
        <v>587</v>
      </c>
      <c r="O149" s="36" t="s">
        <v>587</v>
      </c>
      <c r="P149" s="36" t="s">
        <v>7193</v>
      </c>
      <c r="Q149" s="215" t="s">
        <v>5373</v>
      </c>
    </row>
    <row r="150" customFormat="false" ht="77.25" hidden="false" customHeight="true" outlineLevel="0" collapsed="false">
      <c r="A150" s="217" t="s">
        <v>7712</v>
      </c>
      <c r="B150" s="217" t="s">
        <v>5154</v>
      </c>
      <c r="C150" s="225" t="s">
        <v>7713</v>
      </c>
      <c r="D150" s="217" t="s">
        <v>7376</v>
      </c>
      <c r="E150" s="226" t="s">
        <v>7306</v>
      </c>
      <c r="F150" s="217" t="s">
        <v>7714</v>
      </c>
      <c r="G150" s="217" t="s">
        <v>7715</v>
      </c>
      <c r="H150" s="217" t="s">
        <v>7716</v>
      </c>
      <c r="I150" s="226" t="s">
        <v>7703</v>
      </c>
      <c r="J150" s="217" t="s">
        <v>7311</v>
      </c>
      <c r="K150" s="227" t="s">
        <v>7717</v>
      </c>
      <c r="L150" s="215" t="s">
        <v>7014</v>
      </c>
      <c r="M150" s="6" t="s">
        <v>3533</v>
      </c>
      <c r="N150" s="36" t="s">
        <v>587</v>
      </c>
      <c r="O150" s="36" t="s">
        <v>587</v>
      </c>
      <c r="P150" s="36" t="s">
        <v>7193</v>
      </c>
      <c r="Q150" s="215" t="s">
        <v>5373</v>
      </c>
    </row>
    <row r="151" customFormat="false" ht="64.5" hidden="false" customHeight="true" outlineLevel="0" collapsed="false">
      <c r="A151" s="217" t="s">
        <v>7718</v>
      </c>
      <c r="B151" s="217" t="s">
        <v>5154</v>
      </c>
      <c r="C151" s="225" t="s">
        <v>7719</v>
      </c>
      <c r="D151" s="217" t="s">
        <v>7456</v>
      </c>
      <c r="E151" s="226" t="s">
        <v>7306</v>
      </c>
      <c r="F151" s="217" t="s">
        <v>7720</v>
      </c>
      <c r="G151" s="217" t="s">
        <v>7721</v>
      </c>
      <c r="H151" s="217" t="s">
        <v>7722</v>
      </c>
      <c r="I151" s="226" t="s">
        <v>7723</v>
      </c>
      <c r="J151" s="217" t="s">
        <v>7311</v>
      </c>
      <c r="K151" s="227" t="s">
        <v>7724</v>
      </c>
      <c r="L151" s="215" t="s">
        <v>7014</v>
      </c>
      <c r="M151" s="6" t="s">
        <v>3364</v>
      </c>
      <c r="N151" s="36" t="s">
        <v>587</v>
      </c>
      <c r="O151" s="215" t="s">
        <v>7725</v>
      </c>
      <c r="P151" s="36" t="s">
        <v>7193</v>
      </c>
      <c r="Q151" s="215" t="s">
        <v>5373</v>
      </c>
    </row>
    <row r="152" customFormat="false" ht="64.5" hidden="false" customHeight="true" outlineLevel="0" collapsed="false">
      <c r="A152" s="217" t="s">
        <v>7726</v>
      </c>
      <c r="B152" s="217" t="s">
        <v>5154</v>
      </c>
      <c r="C152" s="225" t="s">
        <v>7727</v>
      </c>
      <c r="D152" s="226" t="s">
        <v>7728</v>
      </c>
      <c r="E152" s="226" t="s">
        <v>7679</v>
      </c>
      <c r="F152" s="217" t="s">
        <v>7729</v>
      </c>
      <c r="G152" s="217" t="s">
        <v>7730</v>
      </c>
      <c r="H152" s="217" t="s">
        <v>7731</v>
      </c>
      <c r="I152" s="226" t="s">
        <v>7732</v>
      </c>
      <c r="J152" s="217" t="s">
        <v>7311</v>
      </c>
      <c r="K152" s="227" t="s">
        <v>7733</v>
      </c>
      <c r="L152" s="215" t="s">
        <v>7014</v>
      </c>
      <c r="M152" s="6" t="s">
        <v>587</v>
      </c>
      <c r="N152" s="36" t="s">
        <v>587</v>
      </c>
      <c r="O152" s="36" t="s">
        <v>7573</v>
      </c>
      <c r="P152" s="36" t="s">
        <v>80</v>
      </c>
      <c r="Q152" s="36" t="s">
        <v>587</v>
      </c>
    </row>
    <row r="153" customFormat="false" ht="126.75" hidden="false" customHeight="true" outlineLevel="0" collapsed="false">
      <c r="A153" s="217" t="s">
        <v>7734</v>
      </c>
      <c r="B153" s="217" t="s">
        <v>5175</v>
      </c>
      <c r="C153" s="225" t="s">
        <v>7735</v>
      </c>
      <c r="D153" s="226" t="s">
        <v>7736</v>
      </c>
      <c r="E153" s="226" t="s">
        <v>7679</v>
      </c>
      <c r="F153" s="217" t="s">
        <v>7737</v>
      </c>
      <c r="G153" s="217" t="s">
        <v>7738</v>
      </c>
      <c r="H153" s="226" t="s">
        <v>7739</v>
      </c>
      <c r="I153" s="226" t="s">
        <v>7740</v>
      </c>
      <c r="J153" s="217" t="s">
        <v>7311</v>
      </c>
      <c r="K153" s="227" t="s">
        <v>7741</v>
      </c>
      <c r="L153" s="215" t="s">
        <v>7014</v>
      </c>
      <c r="M153" s="6" t="s">
        <v>587</v>
      </c>
      <c r="N153" s="36" t="s">
        <v>587</v>
      </c>
      <c r="O153" s="36" t="s">
        <v>587</v>
      </c>
      <c r="P153" s="36" t="s">
        <v>80</v>
      </c>
      <c r="Q153" s="36" t="s">
        <v>587</v>
      </c>
    </row>
    <row r="154" customFormat="false" ht="101.25" hidden="false" customHeight="true" outlineLevel="0" collapsed="false">
      <c r="A154" s="217" t="s">
        <v>7742</v>
      </c>
      <c r="B154" s="217" t="s">
        <v>5175</v>
      </c>
      <c r="C154" s="225" t="s">
        <v>7743</v>
      </c>
      <c r="D154" s="217" t="s">
        <v>7744</v>
      </c>
      <c r="E154" s="226" t="s">
        <v>7306</v>
      </c>
      <c r="F154" s="217" t="s">
        <v>7745</v>
      </c>
      <c r="G154" s="217" t="s">
        <v>7746</v>
      </c>
      <c r="H154" s="217" t="s">
        <v>7747</v>
      </c>
      <c r="I154" s="226" t="s">
        <v>7748</v>
      </c>
      <c r="J154" s="217" t="s">
        <v>7311</v>
      </c>
      <c r="K154" s="227" t="s">
        <v>7749</v>
      </c>
      <c r="L154" s="215" t="s">
        <v>7014</v>
      </c>
      <c r="M154" s="6" t="s">
        <v>587</v>
      </c>
      <c r="N154" s="36" t="s">
        <v>587</v>
      </c>
      <c r="O154" s="36" t="s">
        <v>587</v>
      </c>
      <c r="P154" s="36" t="s">
        <v>84</v>
      </c>
      <c r="Q154" s="215" t="s">
        <v>5477</v>
      </c>
    </row>
    <row r="155" customFormat="false" ht="102.75" hidden="false" customHeight="true" outlineLevel="0" collapsed="false">
      <c r="A155" s="217" t="s">
        <v>7750</v>
      </c>
      <c r="B155" s="217" t="s">
        <v>5175</v>
      </c>
      <c r="C155" s="225" t="s">
        <v>7751</v>
      </c>
      <c r="D155" s="226" t="s">
        <v>7752</v>
      </c>
      <c r="E155" s="226" t="s">
        <v>7679</v>
      </c>
      <c r="F155" s="217" t="s">
        <v>7753</v>
      </c>
      <c r="G155" s="217" t="s">
        <v>7754</v>
      </c>
      <c r="H155" s="226" t="s">
        <v>7755</v>
      </c>
      <c r="I155" s="226" t="s">
        <v>7756</v>
      </c>
      <c r="J155" s="217" t="s">
        <v>7311</v>
      </c>
      <c r="K155" s="227" t="s">
        <v>7757</v>
      </c>
      <c r="L155" s="215" t="s">
        <v>7014</v>
      </c>
      <c r="M155" s="6" t="s">
        <v>587</v>
      </c>
      <c r="N155" s="36" t="s">
        <v>587</v>
      </c>
      <c r="O155" s="36" t="s">
        <v>587</v>
      </c>
      <c r="P155" s="36" t="s">
        <v>80</v>
      </c>
      <c r="Q155" s="215" t="s">
        <v>7758</v>
      </c>
    </row>
    <row r="156" customFormat="false" ht="90" hidden="false" customHeight="true" outlineLevel="0" collapsed="false">
      <c r="A156" s="217" t="s">
        <v>7759</v>
      </c>
      <c r="B156" s="217" t="s">
        <v>5175</v>
      </c>
      <c r="C156" s="225" t="s">
        <v>7760</v>
      </c>
      <c r="D156" s="217" t="s">
        <v>7761</v>
      </c>
      <c r="E156" s="226" t="s">
        <v>7306</v>
      </c>
      <c r="F156" s="217" t="s">
        <v>7762</v>
      </c>
      <c r="G156" s="217" t="s">
        <v>7763</v>
      </c>
      <c r="H156" s="226" t="s">
        <v>7764</v>
      </c>
      <c r="I156" s="226" t="s">
        <v>7765</v>
      </c>
      <c r="J156" s="217" t="s">
        <v>7311</v>
      </c>
      <c r="K156" s="227" t="s">
        <v>7766</v>
      </c>
      <c r="L156" s="215" t="s">
        <v>7014</v>
      </c>
      <c r="M156" s="6" t="s">
        <v>587</v>
      </c>
      <c r="N156" s="36" t="s">
        <v>587</v>
      </c>
      <c r="O156" s="36" t="s">
        <v>587</v>
      </c>
      <c r="P156" s="36" t="s">
        <v>84</v>
      </c>
      <c r="Q156" s="215" t="s">
        <v>5477</v>
      </c>
    </row>
    <row r="157" customFormat="false" ht="64.5" hidden="false" customHeight="true" outlineLevel="0" collapsed="false">
      <c r="A157" s="217" t="s">
        <v>7767</v>
      </c>
      <c r="B157" s="217" t="s">
        <v>5175</v>
      </c>
      <c r="C157" s="225" t="s">
        <v>7768</v>
      </c>
      <c r="D157" s="226" t="s">
        <v>7769</v>
      </c>
      <c r="E157" s="226" t="s">
        <v>7621</v>
      </c>
      <c r="F157" s="217" t="s">
        <v>7770</v>
      </c>
      <c r="G157" s="217" t="s">
        <v>7771</v>
      </c>
      <c r="H157" s="217" t="s">
        <v>7772</v>
      </c>
      <c r="I157" s="226" t="s">
        <v>7765</v>
      </c>
      <c r="J157" s="217" t="s">
        <v>7311</v>
      </c>
      <c r="K157" s="227" t="s">
        <v>7773</v>
      </c>
      <c r="L157" s="215" t="s">
        <v>7014</v>
      </c>
      <c r="M157" s="6" t="s">
        <v>587</v>
      </c>
      <c r="N157" s="36" t="s">
        <v>587</v>
      </c>
      <c r="O157" s="36" t="s">
        <v>587</v>
      </c>
      <c r="P157" s="36" t="s">
        <v>84</v>
      </c>
      <c r="Q157" s="215" t="s">
        <v>7774</v>
      </c>
    </row>
    <row r="158" customFormat="false" ht="125.25" hidden="false" customHeight="true" outlineLevel="0" collapsed="false">
      <c r="A158" s="217" t="s">
        <v>7775</v>
      </c>
      <c r="B158" s="217" t="s">
        <v>5175</v>
      </c>
      <c r="C158" s="225" t="s">
        <v>7776</v>
      </c>
      <c r="D158" s="217" t="s">
        <v>7777</v>
      </c>
      <c r="E158" s="226" t="s">
        <v>7679</v>
      </c>
      <c r="F158" s="217" t="s">
        <v>7778</v>
      </c>
      <c r="G158" s="217" t="s">
        <v>7779</v>
      </c>
      <c r="H158" s="226" t="s">
        <v>7780</v>
      </c>
      <c r="I158" s="226" t="s">
        <v>7781</v>
      </c>
      <c r="J158" s="217" t="s">
        <v>7311</v>
      </c>
      <c r="K158" s="227" t="s">
        <v>7782</v>
      </c>
      <c r="L158" s="215" t="s">
        <v>7014</v>
      </c>
      <c r="M158" s="6" t="s">
        <v>587</v>
      </c>
      <c r="N158" s="36" t="s">
        <v>587</v>
      </c>
      <c r="O158" s="36" t="s">
        <v>587</v>
      </c>
      <c r="P158" s="36" t="s">
        <v>80</v>
      </c>
      <c r="Q158" s="36" t="s">
        <v>587</v>
      </c>
    </row>
    <row r="159" customFormat="false" ht="141" hidden="false" customHeight="true" outlineLevel="0" collapsed="false">
      <c r="A159" s="217" t="s">
        <v>7783</v>
      </c>
      <c r="B159" s="217" t="s">
        <v>5175</v>
      </c>
      <c r="C159" s="225" t="s">
        <v>7784</v>
      </c>
      <c r="D159" s="217" t="s">
        <v>7785</v>
      </c>
      <c r="E159" s="226" t="s">
        <v>7786</v>
      </c>
      <c r="F159" s="217" t="s">
        <v>7787</v>
      </c>
      <c r="G159" s="217" t="s">
        <v>7788</v>
      </c>
      <c r="H159" s="217" t="s">
        <v>7789</v>
      </c>
      <c r="I159" s="226" t="s">
        <v>7790</v>
      </c>
      <c r="J159" s="217" t="s">
        <v>7311</v>
      </c>
      <c r="K159" s="227" t="s">
        <v>7791</v>
      </c>
      <c r="L159" s="215" t="s">
        <v>7014</v>
      </c>
      <c r="M159" s="6" t="s">
        <v>587</v>
      </c>
      <c r="N159" s="36" t="s">
        <v>587</v>
      </c>
      <c r="O159" s="215" t="s">
        <v>7792</v>
      </c>
      <c r="P159" s="36" t="s">
        <v>84</v>
      </c>
      <c r="Q159" s="215" t="s">
        <v>7793</v>
      </c>
    </row>
    <row r="160" customFormat="false" ht="51.75" hidden="false" customHeight="true" outlineLevel="0" collapsed="false">
      <c r="A160" s="217" t="s">
        <v>7794</v>
      </c>
      <c r="B160" s="217" t="s">
        <v>5175</v>
      </c>
      <c r="C160" s="225" t="s">
        <v>7795</v>
      </c>
      <c r="D160" s="217" t="s">
        <v>7796</v>
      </c>
      <c r="E160" s="226" t="s">
        <v>7797</v>
      </c>
      <c r="F160" s="217" t="s">
        <v>7798</v>
      </c>
      <c r="G160" s="217" t="s">
        <v>7799</v>
      </c>
      <c r="H160" s="217" t="s">
        <v>7800</v>
      </c>
      <c r="I160" s="226" t="s">
        <v>7801</v>
      </c>
      <c r="J160" s="217" t="s">
        <v>5211</v>
      </c>
      <c r="K160" s="227" t="s">
        <v>7802</v>
      </c>
      <c r="L160" s="215" t="s">
        <v>7014</v>
      </c>
      <c r="M160" s="6" t="s">
        <v>587</v>
      </c>
      <c r="N160" s="36" t="s">
        <v>587</v>
      </c>
      <c r="O160" s="36" t="s">
        <v>587</v>
      </c>
      <c r="P160" s="36" t="s">
        <v>84</v>
      </c>
      <c r="Q160" s="215" t="s">
        <v>5477</v>
      </c>
    </row>
    <row r="161" customFormat="false" ht="51.75" hidden="false" customHeight="true" outlineLevel="0" collapsed="false">
      <c r="A161" s="217" t="s">
        <v>7803</v>
      </c>
      <c r="B161" s="217" t="s">
        <v>5175</v>
      </c>
      <c r="C161" s="225" t="s">
        <v>7804</v>
      </c>
      <c r="D161" s="217" t="s">
        <v>7796</v>
      </c>
      <c r="E161" s="226" t="s">
        <v>7797</v>
      </c>
      <c r="F161" s="217" t="s">
        <v>7805</v>
      </c>
      <c r="G161" s="226" t="s">
        <v>7806</v>
      </c>
      <c r="H161" s="226" t="s">
        <v>7807</v>
      </c>
      <c r="I161" s="226" t="s">
        <v>7808</v>
      </c>
      <c r="J161" s="217" t="s">
        <v>5211</v>
      </c>
      <c r="K161" s="227" t="s">
        <v>7809</v>
      </c>
      <c r="L161" s="215" t="s">
        <v>7014</v>
      </c>
      <c r="M161" s="6" t="s">
        <v>587</v>
      </c>
      <c r="N161" s="36" t="s">
        <v>587</v>
      </c>
      <c r="O161" s="36" t="s">
        <v>587</v>
      </c>
      <c r="P161" s="36" t="s">
        <v>84</v>
      </c>
      <c r="Q161" s="215" t="s">
        <v>7810</v>
      </c>
    </row>
    <row r="162" customFormat="false" ht="39" hidden="false" customHeight="true" outlineLevel="0" collapsed="false">
      <c r="A162" s="217" t="s">
        <v>7811</v>
      </c>
      <c r="B162" s="217" t="s">
        <v>5175</v>
      </c>
      <c r="C162" s="227" t="s">
        <v>7812</v>
      </c>
      <c r="D162" s="217" t="s">
        <v>7796</v>
      </c>
      <c r="E162" s="226" t="s">
        <v>7797</v>
      </c>
      <c r="F162" s="217" t="s">
        <v>7813</v>
      </c>
      <c r="G162" s="226" t="s">
        <v>7814</v>
      </c>
      <c r="H162" s="226" t="s">
        <v>7815</v>
      </c>
      <c r="I162" s="226" t="s">
        <v>7816</v>
      </c>
      <c r="J162" s="217" t="s">
        <v>5211</v>
      </c>
      <c r="K162" s="227" t="s">
        <v>7817</v>
      </c>
      <c r="L162" s="215" t="s">
        <v>7014</v>
      </c>
      <c r="M162" s="6" t="s">
        <v>587</v>
      </c>
      <c r="N162" s="36" t="s">
        <v>587</v>
      </c>
      <c r="O162" s="36" t="s">
        <v>587</v>
      </c>
      <c r="P162" s="36" t="s">
        <v>84</v>
      </c>
      <c r="Q162" s="215" t="s">
        <v>5477</v>
      </c>
    </row>
    <row r="163" customFormat="false" ht="51.75" hidden="false" customHeight="true" outlineLevel="0" collapsed="false">
      <c r="A163" s="217" t="s">
        <v>7818</v>
      </c>
      <c r="B163" s="217" t="s">
        <v>5175</v>
      </c>
      <c r="C163" s="225" t="s">
        <v>7819</v>
      </c>
      <c r="D163" s="217" t="s">
        <v>7796</v>
      </c>
      <c r="E163" s="226" t="s">
        <v>7797</v>
      </c>
      <c r="F163" s="217" t="s">
        <v>7820</v>
      </c>
      <c r="G163" s="226" t="s">
        <v>7821</v>
      </c>
      <c r="H163" s="226" t="s">
        <v>7822</v>
      </c>
      <c r="I163" s="226" t="s">
        <v>7823</v>
      </c>
      <c r="J163" s="217" t="s">
        <v>5211</v>
      </c>
      <c r="K163" s="227" t="s">
        <v>7824</v>
      </c>
      <c r="L163" s="215" t="s">
        <v>7014</v>
      </c>
      <c r="M163" s="6" t="s">
        <v>587</v>
      </c>
      <c r="N163" s="36" t="s">
        <v>587</v>
      </c>
      <c r="O163" s="36" t="s">
        <v>587</v>
      </c>
      <c r="P163" s="36" t="s">
        <v>84</v>
      </c>
      <c r="Q163" s="215" t="s">
        <v>5477</v>
      </c>
    </row>
    <row r="164" customFormat="false" ht="51.75" hidden="false" customHeight="true" outlineLevel="0" collapsed="false">
      <c r="A164" s="217" t="s">
        <v>7825</v>
      </c>
      <c r="B164" s="217" t="s">
        <v>5175</v>
      </c>
      <c r="C164" s="225" t="s">
        <v>7826</v>
      </c>
      <c r="D164" s="217" t="s">
        <v>7796</v>
      </c>
      <c r="E164" s="226" t="s">
        <v>7797</v>
      </c>
      <c r="F164" s="217" t="s">
        <v>7827</v>
      </c>
      <c r="G164" s="226" t="s">
        <v>7828</v>
      </c>
      <c r="H164" s="226" t="s">
        <v>7829</v>
      </c>
      <c r="I164" s="226" t="s">
        <v>7830</v>
      </c>
      <c r="J164" s="217" t="s">
        <v>5211</v>
      </c>
      <c r="K164" s="227" t="s">
        <v>7831</v>
      </c>
      <c r="L164" s="215" t="s">
        <v>7014</v>
      </c>
      <c r="M164" s="6" t="s">
        <v>587</v>
      </c>
      <c r="N164" s="36" t="s">
        <v>587</v>
      </c>
      <c r="O164" s="36" t="s">
        <v>587</v>
      </c>
      <c r="P164" s="36" t="s">
        <v>84</v>
      </c>
      <c r="Q164" s="215" t="s">
        <v>5477</v>
      </c>
    </row>
    <row r="165" customFormat="false" ht="51.75" hidden="false" customHeight="true" outlineLevel="0" collapsed="false">
      <c r="A165" s="217" t="s">
        <v>7832</v>
      </c>
      <c r="B165" s="217" t="s">
        <v>5175</v>
      </c>
      <c r="C165" s="225" t="s">
        <v>7833</v>
      </c>
      <c r="D165" s="217" t="s">
        <v>7796</v>
      </c>
      <c r="E165" s="226" t="s">
        <v>7797</v>
      </c>
      <c r="F165" s="217" t="s">
        <v>7834</v>
      </c>
      <c r="G165" s="226" t="s">
        <v>7835</v>
      </c>
      <c r="H165" s="226" t="s">
        <v>7836</v>
      </c>
      <c r="I165" s="226" t="s">
        <v>7837</v>
      </c>
      <c r="J165" s="217" t="s">
        <v>5211</v>
      </c>
      <c r="K165" s="227" t="s">
        <v>7838</v>
      </c>
      <c r="L165" s="215" t="s">
        <v>7014</v>
      </c>
      <c r="M165" s="6" t="s">
        <v>587</v>
      </c>
      <c r="N165" s="36" t="s">
        <v>587</v>
      </c>
      <c r="O165" s="36" t="s">
        <v>7839</v>
      </c>
      <c r="P165" s="36" t="s">
        <v>84</v>
      </c>
      <c r="Q165" s="215" t="s">
        <v>5477</v>
      </c>
    </row>
    <row r="166" customFormat="false" ht="51.75" hidden="false" customHeight="true" outlineLevel="0" collapsed="false">
      <c r="A166" s="217" t="s">
        <v>7840</v>
      </c>
      <c r="B166" s="217" t="s">
        <v>5175</v>
      </c>
      <c r="C166" s="227" t="s">
        <v>7841</v>
      </c>
      <c r="D166" s="217" t="s">
        <v>7796</v>
      </c>
      <c r="E166" s="226" t="s">
        <v>7797</v>
      </c>
      <c r="F166" s="217" t="s">
        <v>7842</v>
      </c>
      <c r="G166" s="226" t="s">
        <v>7843</v>
      </c>
      <c r="H166" s="226" t="s">
        <v>7844</v>
      </c>
      <c r="I166" s="226" t="s">
        <v>7845</v>
      </c>
      <c r="J166" s="217" t="s">
        <v>5211</v>
      </c>
      <c r="K166" s="227" t="s">
        <v>7846</v>
      </c>
      <c r="L166" s="215" t="s">
        <v>7014</v>
      </c>
      <c r="M166" s="6" t="s">
        <v>587</v>
      </c>
      <c r="N166" s="36" t="s">
        <v>587</v>
      </c>
      <c r="O166" s="36" t="s">
        <v>587</v>
      </c>
      <c r="P166" s="36" t="s">
        <v>84</v>
      </c>
      <c r="Q166" s="215" t="s">
        <v>5477</v>
      </c>
    </row>
    <row r="167" customFormat="false" ht="51.75" hidden="false" customHeight="true" outlineLevel="0" collapsed="false">
      <c r="A167" s="217" t="s">
        <v>7847</v>
      </c>
      <c r="B167" s="217" t="s">
        <v>5175</v>
      </c>
      <c r="C167" s="227" t="s">
        <v>7848</v>
      </c>
      <c r="D167" s="217" t="s">
        <v>7796</v>
      </c>
      <c r="E167" s="226" t="s">
        <v>7797</v>
      </c>
      <c r="F167" s="217" t="s">
        <v>7849</v>
      </c>
      <c r="G167" s="217" t="s">
        <v>7850</v>
      </c>
      <c r="H167" s="226" t="s">
        <v>7851</v>
      </c>
      <c r="I167" s="226" t="s">
        <v>7852</v>
      </c>
      <c r="J167" s="217" t="s">
        <v>5211</v>
      </c>
      <c r="K167" s="227" t="s">
        <v>7853</v>
      </c>
      <c r="L167" s="215" t="s">
        <v>7014</v>
      </c>
      <c r="M167" s="6" t="s">
        <v>587</v>
      </c>
      <c r="N167" s="36" t="s">
        <v>587</v>
      </c>
      <c r="O167" s="36" t="s">
        <v>587</v>
      </c>
      <c r="P167" s="36" t="s">
        <v>84</v>
      </c>
      <c r="Q167" s="215" t="s">
        <v>5477</v>
      </c>
    </row>
    <row r="168" customFormat="false" ht="77.25" hidden="false" customHeight="true" outlineLevel="0" collapsed="false">
      <c r="A168" s="217" t="s">
        <v>7854</v>
      </c>
      <c r="B168" s="217" t="s">
        <v>5175</v>
      </c>
      <c r="C168" s="225" t="s">
        <v>7855</v>
      </c>
      <c r="D168" s="217" t="s">
        <v>7796</v>
      </c>
      <c r="E168" s="226" t="s">
        <v>7797</v>
      </c>
      <c r="F168" s="217" t="s">
        <v>7856</v>
      </c>
      <c r="G168" s="217" t="s">
        <v>7857</v>
      </c>
      <c r="H168" s="217" t="s">
        <v>7858</v>
      </c>
      <c r="I168" s="226" t="s">
        <v>7859</v>
      </c>
      <c r="J168" s="217" t="s">
        <v>5211</v>
      </c>
      <c r="K168" s="227" t="s">
        <v>7860</v>
      </c>
      <c r="L168" s="215" t="s">
        <v>7014</v>
      </c>
      <c r="M168" s="6" t="s">
        <v>587</v>
      </c>
      <c r="N168" s="36" t="s">
        <v>6315</v>
      </c>
      <c r="O168" s="36" t="s">
        <v>7861</v>
      </c>
      <c r="P168" s="36" t="s">
        <v>84</v>
      </c>
      <c r="Q168" s="215" t="s">
        <v>7862</v>
      </c>
    </row>
    <row r="169" customFormat="false" ht="115.5" hidden="false" customHeight="true" outlineLevel="0" collapsed="false">
      <c r="A169" s="217" t="s">
        <v>6315</v>
      </c>
      <c r="B169" s="217" t="s">
        <v>5175</v>
      </c>
      <c r="C169" s="225" t="s">
        <v>7863</v>
      </c>
      <c r="D169" s="217" t="s">
        <v>7864</v>
      </c>
      <c r="E169" s="226" t="s">
        <v>7306</v>
      </c>
      <c r="F169" s="217" t="s">
        <v>7856</v>
      </c>
      <c r="G169" s="217" t="s">
        <v>7865</v>
      </c>
      <c r="H169" s="217" t="s">
        <v>7866</v>
      </c>
      <c r="I169" s="217" t="s">
        <v>7867</v>
      </c>
      <c r="J169" s="217" t="s">
        <v>5232</v>
      </c>
      <c r="K169" s="227" t="s">
        <v>7868</v>
      </c>
      <c r="L169" s="215" t="s">
        <v>7014</v>
      </c>
      <c r="M169" s="6" t="s">
        <v>7869</v>
      </c>
      <c r="N169" s="36" t="s">
        <v>587</v>
      </c>
      <c r="O169" s="36" t="s">
        <v>7870</v>
      </c>
      <c r="P169" s="36" t="s">
        <v>7193</v>
      </c>
      <c r="Q169" s="215" t="s">
        <v>5373</v>
      </c>
    </row>
    <row r="170" customFormat="false" ht="115.5" hidden="false" customHeight="true" outlineLevel="0" collapsed="false">
      <c r="A170" s="217" t="s">
        <v>7871</v>
      </c>
      <c r="B170" s="217" t="s">
        <v>5175</v>
      </c>
      <c r="C170" s="227" t="s">
        <v>7872</v>
      </c>
      <c r="D170" s="226" t="s">
        <v>7873</v>
      </c>
      <c r="E170" s="226" t="s">
        <v>7797</v>
      </c>
      <c r="F170" s="217" t="s">
        <v>7874</v>
      </c>
      <c r="G170" s="217" t="s">
        <v>7875</v>
      </c>
      <c r="H170" s="226" t="s">
        <v>7876</v>
      </c>
      <c r="I170" s="217" t="s">
        <v>7877</v>
      </c>
      <c r="J170" s="217" t="s">
        <v>5239</v>
      </c>
      <c r="K170" s="227" t="s">
        <v>7878</v>
      </c>
      <c r="L170" s="215" t="s">
        <v>7014</v>
      </c>
      <c r="M170" s="6" t="s">
        <v>587</v>
      </c>
      <c r="N170" s="36" t="s">
        <v>587</v>
      </c>
      <c r="O170" s="36" t="s">
        <v>7879</v>
      </c>
      <c r="P170" s="36" t="s">
        <v>84</v>
      </c>
      <c r="Q170" s="215" t="s">
        <v>7880</v>
      </c>
    </row>
    <row r="171" customFormat="false" ht="153.75" hidden="false" customHeight="true" outlineLevel="0" collapsed="false">
      <c r="A171" s="217" t="s">
        <v>6755</v>
      </c>
      <c r="B171" s="217" t="s">
        <v>5261</v>
      </c>
      <c r="C171" s="225" t="s">
        <v>7881</v>
      </c>
      <c r="D171" s="217" t="s">
        <v>7882</v>
      </c>
      <c r="E171" s="228" t="s">
        <v>7306</v>
      </c>
      <c r="F171" s="217" t="s">
        <v>7883</v>
      </c>
      <c r="G171" s="217" t="s">
        <v>7884</v>
      </c>
      <c r="H171" s="228" t="s">
        <v>7885</v>
      </c>
      <c r="I171" s="228" t="s">
        <v>7886</v>
      </c>
      <c r="J171" s="217" t="s">
        <v>5267</v>
      </c>
      <c r="K171" s="229" t="s">
        <v>7887</v>
      </c>
      <c r="L171" s="191" t="s">
        <v>7014</v>
      </c>
      <c r="M171" s="6" t="s">
        <v>7888</v>
      </c>
      <c r="N171" s="36" t="s">
        <v>587</v>
      </c>
      <c r="O171" s="36" t="s">
        <v>7889</v>
      </c>
      <c r="P171" s="36" t="s">
        <v>7193</v>
      </c>
      <c r="Q171" s="191" t="s">
        <v>5373</v>
      </c>
    </row>
    <row r="172" customFormat="false" ht="264" hidden="false" customHeight="true" outlineLevel="0" collapsed="false">
      <c r="A172" s="217" t="s">
        <v>6024</v>
      </c>
      <c r="B172" s="217" t="s">
        <v>5261</v>
      </c>
      <c r="C172" s="225" t="s">
        <v>7890</v>
      </c>
      <c r="D172" s="217" t="s">
        <v>7891</v>
      </c>
      <c r="E172" s="228" t="s">
        <v>7306</v>
      </c>
      <c r="F172" s="217" t="s">
        <v>7892</v>
      </c>
      <c r="G172" s="217" t="s">
        <v>7893</v>
      </c>
      <c r="H172" s="217" t="s">
        <v>7894</v>
      </c>
      <c r="I172" s="228" t="s">
        <v>7895</v>
      </c>
      <c r="J172" s="217" t="s">
        <v>5267</v>
      </c>
      <c r="K172" s="229" t="s">
        <v>7896</v>
      </c>
      <c r="L172" s="191" t="s">
        <v>7014</v>
      </c>
      <c r="M172" s="6" t="s">
        <v>2454</v>
      </c>
      <c r="N172" s="36" t="s">
        <v>587</v>
      </c>
      <c r="O172" s="36" t="s">
        <v>7897</v>
      </c>
      <c r="P172" s="36" t="s">
        <v>7193</v>
      </c>
      <c r="Q172" s="191" t="s">
        <v>5477</v>
      </c>
    </row>
    <row r="173" customFormat="false" ht="80.25" hidden="false" customHeight="true" outlineLevel="0" collapsed="false">
      <c r="A173" s="217" t="s">
        <v>7898</v>
      </c>
      <c r="B173" s="217" t="s">
        <v>5261</v>
      </c>
      <c r="C173" s="225" t="s">
        <v>7899</v>
      </c>
      <c r="D173" s="217" t="s">
        <v>7900</v>
      </c>
      <c r="E173" s="228" t="s">
        <v>7306</v>
      </c>
      <c r="F173" s="217" t="s">
        <v>7901</v>
      </c>
      <c r="G173" s="217" t="s">
        <v>7902</v>
      </c>
      <c r="H173" s="217" t="s">
        <v>7903</v>
      </c>
      <c r="I173" s="228" t="s">
        <v>7904</v>
      </c>
      <c r="J173" s="217" t="s">
        <v>5267</v>
      </c>
      <c r="K173" s="229" t="s">
        <v>7905</v>
      </c>
      <c r="L173" s="191" t="s">
        <v>7014</v>
      </c>
      <c r="M173" s="6" t="s">
        <v>4654</v>
      </c>
      <c r="N173" s="36" t="s">
        <v>587</v>
      </c>
      <c r="O173" s="191" t="s">
        <v>7906</v>
      </c>
      <c r="P173" s="36" t="s">
        <v>7193</v>
      </c>
      <c r="Q173" s="191" t="s">
        <v>5477</v>
      </c>
    </row>
    <row r="174" customFormat="false" ht="29.25" hidden="false" customHeight="true" outlineLevel="0" collapsed="false">
      <c r="A174" s="217" t="s">
        <v>7907</v>
      </c>
      <c r="B174" s="217" t="s">
        <v>5261</v>
      </c>
      <c r="C174" s="229" t="s">
        <v>7908</v>
      </c>
      <c r="D174" s="217" t="s">
        <v>7909</v>
      </c>
      <c r="E174" s="228" t="s">
        <v>7797</v>
      </c>
      <c r="F174" s="217" t="s">
        <v>7910</v>
      </c>
      <c r="G174" s="217" t="s">
        <v>7911</v>
      </c>
      <c r="H174" s="228" t="s">
        <v>7912</v>
      </c>
      <c r="I174" s="228" t="s">
        <v>7913</v>
      </c>
      <c r="J174" s="217" t="s">
        <v>5267</v>
      </c>
      <c r="K174" s="229" t="s">
        <v>7914</v>
      </c>
      <c r="L174" s="191" t="s">
        <v>7014</v>
      </c>
      <c r="M174" s="6" t="s">
        <v>587</v>
      </c>
      <c r="N174" s="36" t="s">
        <v>587</v>
      </c>
      <c r="O174" s="191" t="s">
        <v>3188</v>
      </c>
      <c r="P174" s="36" t="s">
        <v>7144</v>
      </c>
      <c r="Q174" s="191" t="s">
        <v>7915</v>
      </c>
    </row>
    <row r="175" customFormat="false" ht="100.5" hidden="false" customHeight="true" outlineLevel="0" collapsed="false">
      <c r="A175" s="217" t="s">
        <v>7916</v>
      </c>
      <c r="B175" s="217" t="s">
        <v>2710</v>
      </c>
      <c r="C175" s="225" t="s">
        <v>7917</v>
      </c>
      <c r="D175" s="217" t="s">
        <v>7891</v>
      </c>
      <c r="E175" s="228" t="s">
        <v>7306</v>
      </c>
      <c r="F175" s="217" t="s">
        <v>7918</v>
      </c>
      <c r="G175" s="217" t="s">
        <v>7919</v>
      </c>
      <c r="H175" s="228" t="s">
        <v>7920</v>
      </c>
      <c r="I175" s="228" t="s">
        <v>7921</v>
      </c>
      <c r="J175" s="217" t="s">
        <v>5280</v>
      </c>
      <c r="K175" s="229" t="s">
        <v>7922</v>
      </c>
      <c r="L175" s="191" t="s">
        <v>7014</v>
      </c>
      <c r="M175" s="6" t="s">
        <v>2454</v>
      </c>
      <c r="N175" s="36" t="s">
        <v>587</v>
      </c>
      <c r="O175" s="36" t="s">
        <v>7897</v>
      </c>
      <c r="P175" s="36" t="s">
        <v>7193</v>
      </c>
      <c r="Q175" s="191" t="s">
        <v>5477</v>
      </c>
    </row>
    <row r="176" customFormat="false" ht="137.25" hidden="false" customHeight="true" outlineLevel="0" collapsed="false">
      <c r="A176" s="217" t="s">
        <v>7923</v>
      </c>
      <c r="B176" s="217" t="s">
        <v>2710</v>
      </c>
      <c r="C176" s="225" t="s">
        <v>7924</v>
      </c>
      <c r="D176" s="217" t="s">
        <v>7925</v>
      </c>
      <c r="E176" s="228" t="s">
        <v>7306</v>
      </c>
      <c r="F176" s="217" t="s">
        <v>7926</v>
      </c>
      <c r="G176" s="217" t="s">
        <v>7927</v>
      </c>
      <c r="H176" s="228" t="s">
        <v>7928</v>
      </c>
      <c r="I176" s="228" t="s">
        <v>7929</v>
      </c>
      <c r="J176" s="217" t="s">
        <v>5280</v>
      </c>
      <c r="K176" s="229" t="s">
        <v>7930</v>
      </c>
      <c r="L176" s="191" t="s">
        <v>7014</v>
      </c>
      <c r="M176" s="6" t="s">
        <v>4654</v>
      </c>
      <c r="N176" s="36" t="s">
        <v>587</v>
      </c>
      <c r="O176" s="191" t="s">
        <v>7906</v>
      </c>
      <c r="P176" s="36" t="s">
        <v>7193</v>
      </c>
      <c r="Q176" s="191" t="s">
        <v>5477</v>
      </c>
    </row>
    <row r="177" customFormat="false" ht="242.25" hidden="false" customHeight="true" outlineLevel="0" collapsed="false">
      <c r="A177" s="217" t="s">
        <v>6034</v>
      </c>
      <c r="B177" s="217" t="s">
        <v>2710</v>
      </c>
      <c r="C177" s="225" t="s">
        <v>7931</v>
      </c>
      <c r="D177" s="217" t="s">
        <v>7932</v>
      </c>
      <c r="E177" s="228" t="s">
        <v>7306</v>
      </c>
      <c r="F177" s="217" t="s">
        <v>7933</v>
      </c>
      <c r="G177" s="217" t="s">
        <v>7934</v>
      </c>
      <c r="H177" s="217" t="s">
        <v>7935</v>
      </c>
      <c r="I177" s="228" t="s">
        <v>7936</v>
      </c>
      <c r="J177" s="217" t="s">
        <v>5280</v>
      </c>
      <c r="K177" s="229" t="s">
        <v>7937</v>
      </c>
      <c r="L177" s="191" t="s">
        <v>7014</v>
      </c>
      <c r="M177" s="6" t="s">
        <v>7938</v>
      </c>
      <c r="N177" s="36" t="s">
        <v>587</v>
      </c>
      <c r="O177" s="191" t="s">
        <v>7939</v>
      </c>
      <c r="P177" s="36" t="s">
        <v>7193</v>
      </c>
      <c r="Q177" s="191" t="s">
        <v>5373</v>
      </c>
    </row>
    <row r="178" customFormat="false" ht="156.75" hidden="false" customHeight="true" outlineLevel="0" collapsed="false">
      <c r="A178" s="217" t="s">
        <v>7940</v>
      </c>
      <c r="B178" s="217" t="s">
        <v>2710</v>
      </c>
      <c r="C178" s="229" t="s">
        <v>7941</v>
      </c>
      <c r="D178" s="217" t="s">
        <v>7942</v>
      </c>
      <c r="E178" s="217" t="s">
        <v>7943</v>
      </c>
      <c r="F178" s="217" t="s">
        <v>7944</v>
      </c>
      <c r="G178" s="217" t="s">
        <v>7945</v>
      </c>
      <c r="H178" s="228" t="s">
        <v>7946</v>
      </c>
      <c r="I178" s="228" t="s">
        <v>7947</v>
      </c>
      <c r="J178" s="217" t="s">
        <v>5280</v>
      </c>
      <c r="K178" s="229" t="s">
        <v>7948</v>
      </c>
      <c r="L178" s="191" t="s">
        <v>7014</v>
      </c>
      <c r="M178" s="6" t="s">
        <v>7949</v>
      </c>
      <c r="N178" s="36" t="s">
        <v>587</v>
      </c>
      <c r="O178" s="36" t="s">
        <v>7950</v>
      </c>
      <c r="P178" s="36" t="s">
        <v>587</v>
      </c>
      <c r="Q178" s="36" t="s">
        <v>587</v>
      </c>
    </row>
    <row r="179" customFormat="false" ht="57.75" hidden="false" customHeight="true" outlineLevel="0" collapsed="false">
      <c r="A179" s="217" t="s">
        <v>7951</v>
      </c>
      <c r="B179" s="217" t="s">
        <v>2710</v>
      </c>
      <c r="C179" s="225" t="s">
        <v>7952</v>
      </c>
      <c r="D179" s="217" t="s">
        <v>7953</v>
      </c>
      <c r="E179" s="228" t="s">
        <v>7797</v>
      </c>
      <c r="F179" s="217" t="s">
        <v>7954</v>
      </c>
      <c r="G179" s="217" t="s">
        <v>7955</v>
      </c>
      <c r="H179" s="228" t="s">
        <v>7956</v>
      </c>
      <c r="I179" s="228" t="s">
        <v>7957</v>
      </c>
      <c r="J179" s="217" t="s">
        <v>5280</v>
      </c>
      <c r="K179" s="229" t="s">
        <v>7958</v>
      </c>
      <c r="L179" s="191" t="s">
        <v>7014</v>
      </c>
      <c r="M179" s="6" t="s">
        <v>587</v>
      </c>
      <c r="N179" s="36" t="s">
        <v>587</v>
      </c>
      <c r="O179" s="191" t="s">
        <v>3188</v>
      </c>
      <c r="P179" s="36" t="s">
        <v>7144</v>
      </c>
      <c r="Q179" s="191" t="s">
        <v>7959</v>
      </c>
    </row>
    <row r="180" customFormat="false" ht="86.55" hidden="false" customHeight="false" outlineLevel="0" collapsed="false">
      <c r="A180" s="129" t="s">
        <v>7960</v>
      </c>
      <c r="B180" s="129" t="s">
        <v>2710</v>
      </c>
      <c r="C180" s="225" t="s">
        <v>7961</v>
      </c>
      <c r="D180" s="129" t="s">
        <v>7962</v>
      </c>
      <c r="E180" s="129" t="s">
        <v>7963</v>
      </c>
      <c r="F180" s="129" t="s">
        <v>7964</v>
      </c>
      <c r="G180" s="129" t="s">
        <v>7965</v>
      </c>
      <c r="H180" s="129" t="s">
        <v>7966</v>
      </c>
      <c r="I180" s="98" t="s">
        <v>7967</v>
      </c>
      <c r="J180" s="129" t="s">
        <v>5287</v>
      </c>
      <c r="K180" s="230" t="s">
        <v>7968</v>
      </c>
      <c r="L180" s="53" t="s">
        <v>7014</v>
      </c>
      <c r="M180" s="6" t="s">
        <v>2547</v>
      </c>
      <c r="N180" s="54" t="s">
        <v>587</v>
      </c>
      <c r="O180" s="53" t="s">
        <v>7969</v>
      </c>
      <c r="P180" s="54" t="s">
        <v>7168</v>
      </c>
      <c r="Q180" s="53" t="s">
        <v>5373</v>
      </c>
    </row>
    <row r="181" customFormat="false" ht="58.2" hidden="false" customHeight="false" outlineLevel="0" collapsed="false">
      <c r="A181" s="129" t="s">
        <v>7970</v>
      </c>
      <c r="B181" s="129" t="s">
        <v>2710</v>
      </c>
      <c r="C181" s="225" t="s">
        <v>7971</v>
      </c>
      <c r="D181" s="129" t="s">
        <v>7972</v>
      </c>
      <c r="E181" s="129" t="s">
        <v>7973</v>
      </c>
      <c r="F181" s="129" t="s">
        <v>7974</v>
      </c>
      <c r="G181" s="129" t="s">
        <v>7975</v>
      </c>
      <c r="H181" s="129" t="s">
        <v>7976</v>
      </c>
      <c r="I181" s="98" t="s">
        <v>7967</v>
      </c>
      <c r="J181" s="129" t="s">
        <v>5287</v>
      </c>
      <c r="K181" s="225" t="s">
        <v>7977</v>
      </c>
      <c r="L181" s="53" t="s">
        <v>7014</v>
      </c>
      <c r="M181" s="6" t="s">
        <v>4778</v>
      </c>
      <c r="N181" s="54" t="s">
        <v>587</v>
      </c>
      <c r="O181" s="53" t="s">
        <v>7969</v>
      </c>
      <c r="P181" s="54" t="s">
        <v>7193</v>
      </c>
      <c r="Q181" s="53" t="s">
        <v>5373</v>
      </c>
    </row>
    <row r="182" customFormat="false" ht="72.35" hidden="false" customHeight="false" outlineLevel="0" collapsed="false">
      <c r="A182" s="129" t="s">
        <v>7978</v>
      </c>
      <c r="B182" s="129" t="s">
        <v>2710</v>
      </c>
      <c r="C182" s="230" t="s">
        <v>7979</v>
      </c>
      <c r="D182" s="129" t="s">
        <v>7980</v>
      </c>
      <c r="E182" s="129" t="s">
        <v>7981</v>
      </c>
      <c r="F182" s="129" t="s">
        <v>7982</v>
      </c>
      <c r="G182" s="129" t="s">
        <v>587</v>
      </c>
      <c r="H182" s="129" t="s">
        <v>587</v>
      </c>
      <c r="I182" s="98" t="s">
        <v>7967</v>
      </c>
      <c r="J182" s="129" t="s">
        <v>5287</v>
      </c>
      <c r="K182" s="230" t="s">
        <v>7983</v>
      </c>
      <c r="L182" s="53" t="s">
        <v>7014</v>
      </c>
      <c r="M182" s="6" t="s">
        <v>2547</v>
      </c>
      <c r="N182" s="54" t="s">
        <v>587</v>
      </c>
      <c r="O182" s="53" t="s">
        <v>7969</v>
      </c>
      <c r="P182" s="54" t="s">
        <v>7168</v>
      </c>
      <c r="Q182" s="53" t="s">
        <v>7984</v>
      </c>
    </row>
    <row r="183" customFormat="false" ht="114.9" hidden="false" customHeight="false" outlineLevel="0" collapsed="false">
      <c r="A183" s="129" t="s">
        <v>6775</v>
      </c>
      <c r="B183" s="129" t="s">
        <v>2710</v>
      </c>
      <c r="C183" s="225" t="s">
        <v>7985</v>
      </c>
      <c r="D183" s="129" t="s">
        <v>7986</v>
      </c>
      <c r="E183" s="129" t="s">
        <v>7987</v>
      </c>
      <c r="F183" s="129" t="s">
        <v>7988</v>
      </c>
      <c r="G183" s="129" t="s">
        <v>7989</v>
      </c>
      <c r="H183" s="129" t="s">
        <v>7990</v>
      </c>
      <c r="I183" s="98" t="s">
        <v>7991</v>
      </c>
      <c r="J183" s="129" t="s">
        <v>5287</v>
      </c>
      <c r="K183" s="230" t="s">
        <v>7992</v>
      </c>
      <c r="L183" s="53" t="s">
        <v>7014</v>
      </c>
      <c r="M183" s="6" t="s">
        <v>7993</v>
      </c>
      <c r="N183" s="54" t="s">
        <v>2531</v>
      </c>
      <c r="O183" s="54" t="s">
        <v>7994</v>
      </c>
      <c r="P183" s="54" t="s">
        <v>7168</v>
      </c>
      <c r="Q183" s="53" t="s">
        <v>5373</v>
      </c>
    </row>
    <row r="184" customFormat="false" ht="58.2" hidden="false" customHeight="false" outlineLevel="0" collapsed="false">
      <c r="A184" s="129" t="s">
        <v>7995</v>
      </c>
      <c r="B184" s="129" t="s">
        <v>2710</v>
      </c>
      <c r="C184" s="225" t="s">
        <v>7996</v>
      </c>
      <c r="D184" s="129" t="s">
        <v>7997</v>
      </c>
      <c r="E184" s="129" t="s">
        <v>587</v>
      </c>
      <c r="F184" s="129" t="s">
        <v>7998</v>
      </c>
      <c r="G184" s="129" t="s">
        <v>7999</v>
      </c>
      <c r="H184" s="98" t="s">
        <v>7673</v>
      </c>
      <c r="I184" s="98" t="s">
        <v>8000</v>
      </c>
      <c r="J184" s="129" t="s">
        <v>5287</v>
      </c>
      <c r="K184" s="230" t="s">
        <v>8001</v>
      </c>
      <c r="L184" s="53" t="s">
        <v>7014</v>
      </c>
      <c r="M184" s="6" t="s">
        <v>8002</v>
      </c>
      <c r="N184" s="54" t="s">
        <v>587</v>
      </c>
      <c r="O184" s="53" t="s">
        <v>3188</v>
      </c>
      <c r="P184" s="54" t="s">
        <v>587</v>
      </c>
      <c r="Q184" s="54" t="s">
        <v>587</v>
      </c>
    </row>
    <row r="185" customFormat="false" ht="129.1" hidden="false" customHeight="false" outlineLevel="0" collapsed="false">
      <c r="A185" s="129" t="s">
        <v>8003</v>
      </c>
      <c r="B185" s="129" t="s">
        <v>2710</v>
      </c>
      <c r="C185" s="230" t="s">
        <v>8004</v>
      </c>
      <c r="D185" s="129" t="s">
        <v>8005</v>
      </c>
      <c r="E185" s="129" t="s">
        <v>8006</v>
      </c>
      <c r="F185" s="129" t="s">
        <v>8007</v>
      </c>
      <c r="G185" s="129" t="s">
        <v>8008</v>
      </c>
      <c r="H185" s="98" t="s">
        <v>8009</v>
      </c>
      <c r="I185" s="98" t="s">
        <v>8010</v>
      </c>
      <c r="J185" s="129" t="s">
        <v>5287</v>
      </c>
      <c r="K185" s="225" t="s">
        <v>8011</v>
      </c>
      <c r="L185" s="53" t="s">
        <v>7014</v>
      </c>
      <c r="M185" s="6" t="s">
        <v>8012</v>
      </c>
      <c r="N185" s="54" t="s">
        <v>587</v>
      </c>
      <c r="O185" s="54" t="s">
        <v>8013</v>
      </c>
      <c r="P185" s="54" t="s">
        <v>7193</v>
      </c>
      <c r="Q185" s="53" t="s">
        <v>5373</v>
      </c>
    </row>
    <row r="186" customFormat="false" ht="100.7" hidden="false" customHeight="false" outlineLevel="0" collapsed="false">
      <c r="A186" s="129" t="s">
        <v>8014</v>
      </c>
      <c r="B186" s="129" t="s">
        <v>2710</v>
      </c>
      <c r="C186" s="225" t="s">
        <v>8015</v>
      </c>
      <c r="D186" s="129" t="s">
        <v>8016</v>
      </c>
      <c r="E186" s="129" t="s">
        <v>8017</v>
      </c>
      <c r="F186" s="129" t="s">
        <v>8018</v>
      </c>
      <c r="G186" s="98" t="s">
        <v>8019</v>
      </c>
      <c r="H186" s="129" t="s">
        <v>587</v>
      </c>
      <c r="I186" s="98" t="s">
        <v>8020</v>
      </c>
      <c r="J186" s="129" t="s">
        <v>5287</v>
      </c>
      <c r="K186" s="230" t="s">
        <v>8021</v>
      </c>
      <c r="L186" s="53" t="s">
        <v>7014</v>
      </c>
      <c r="M186" s="6" t="s">
        <v>587</v>
      </c>
      <c r="N186" s="54" t="s">
        <v>587</v>
      </c>
      <c r="O186" s="54" t="s">
        <v>8022</v>
      </c>
      <c r="P186" s="54" t="s">
        <v>587</v>
      </c>
      <c r="Q186" s="54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2026-10-08T08:08:59Z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